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290" windowHeight="13200" tabRatio="490" activeTab="3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</workbook>
</file>

<file path=xl/calcChain.xml><?xml version="1.0" encoding="utf-8"?>
<calcChain xmlns="http://schemas.openxmlformats.org/spreadsheetml/2006/main">
  <c r="I57" i="1" l="1"/>
  <c r="H57" i="1"/>
  <c r="E57" i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G12" i="1" l="1"/>
  <c r="G13" i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<sst xmlns="http://schemas.openxmlformats.org/spreadsheetml/2006/main" count="308" uniqueCount="132">
  <si>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</si>
  <si>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</si>
  <si>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</si>
  <si>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</si>
  <si>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</si>
  <si>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</si>
  <si>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</si>
  <si>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</si>
  <si>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</si>
  <si>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</si>
  <si>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</si>
  <si>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</si>
  <si>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</si>
  <si>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</si>
  <si>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</si>
  <si>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</si>
  <si>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</si>
  <si>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</si>
  <si>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</si>
  <si>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</si>
  <si>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</si>
  <si>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</si>
  <si>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</si>
  <si>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</si>
  <si>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</si>
  <si>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</si>
  <si>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</si>
  <si>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</si>
  <si>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</si>
  <si>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</si>
  <si>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</si>
  <si>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</si>
  <si>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</si>
  <si>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</si>
  <si>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</si>
  <si>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</si>
  <si>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</si>
  <si>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</si>
  <si>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</si>
  <si>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</si>
  <si>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</si>
  <si>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</si>
  <si>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</si>
  <si>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</si>
  <si>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</si>
  <si>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</si>
  <si>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</si>
  <si>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</si>
  <si>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</si>
  <si>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</si>
  <si>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</si>
  <si>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</si>
  <si>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</si>
  <si>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</si>
  <si>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</si>
  <si>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</si>
  <si>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</si>
  <si>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</si>
  <si>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</si>
  <si>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</si>
  <si>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</si>
  <si>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</si>
  <si>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</si>
  <si>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</si>
  <si>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</si>
  <si>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</si>
  <si>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</si>
  <si>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</si>
  <si>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</si>
  <si>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</si>
  <si>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</si>
  <si>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</si>
  <si>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</si>
  <si>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</si>
  <si>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</si>
  <si>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</si>
  <si>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</si>
  <si>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</si>
  <si>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</si>
  <si>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</si>
  <si>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</si>
  <si>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</si>
  <si>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</si>
  <si>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</si>
  <si>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</si>
  <si>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</si>
  <si>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</si>
  <si>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</si>
  <si>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</si>
  <si>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</si>
  <si>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</si>
  <si>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</si>
  <si>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</si>
  <si>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</si>
  <si>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</si>
  <si>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</si>
  <si>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</si>
  <si>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</si>
  <si>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</si>
  <si>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</si>
  <si>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</si>
  <si>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</si>
  <si>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</si>
  <si>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</si>
  <si>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</si>
  <si>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</si>
  <si>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</si>
  <si>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</si>
  <si>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</si>
  <si>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</si>
  <si>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</si>
  <si>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</si>
  <si>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</si>
  <si>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</si>
  <si>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</si>
  <si>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</si>
  <si>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</si>
  <si>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</si>
  <si>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</si>
  <si>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</si>
  <si>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</si>
  <si>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</si>
  <si>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</si>
  <si>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</si>
  <si>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</si>
  <si>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JULIO 2022</t>
  </si>
  <si>
    <t>Julio</t>
  </si>
  <si>
    <t>Enero - Julio</t>
  </si>
  <si>
    <t>Grafico N° 11: Generación de energía eléctrica por Región, al mes de julio 2022</t>
  </si>
  <si>
    <t>Cuadro N° 8: Producción de energía eléctrica nacional por zona del país, al mes de julio</t>
  </si>
  <si>
    <t>3.2 Producción de energía eléctrica (GWh) por origen y zona al mes de julio 2022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</si>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</sst>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98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167" fontId="0" fillId="68" borderId="62" xfId="0" applyNumberFormat="1" applyFill="1" applyBorder="1" applyAlignment="1">
      <alignment horizontal="center" vertic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2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167" fontId="0" fillId="68" borderId="63" xfId="0" applyNumberFormat="1" applyFont="1" applyFill="1" applyBorder="1" applyAlignment="1">
      <alignment vertical="center"/>
    </xf>
    <xf numFmtId="9" fontId="96" fillId="0" borderId="32" xfId="33743" applyNumberFormat="1" applyFont="1" applyBorder="1" applyAlignment="1">
      <alignment horizontal="center"/>
    </xf>
    <xf numFmtId="3" fontId="0" fillId="68" borderId="113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3" fontId="99" fillId="0" borderId="28" xfId="0" applyNumberFormat="1" applyFont="1" applyBorder="1"/>
    <xf numFmtId="4" fontId="99" fillId="0" borderId="78" xfId="0" applyNumberFormat="1" applyFont="1" applyBorder="1"/>
    <xf numFmtId="4" fontId="99" fillId="0" borderId="107" xfId="0" applyNumberFormat="1" applyFont="1" applyBorder="1"/>
    <xf numFmtId="3" fontId="0" fillId="68" borderId="83" xfId="0" applyNumberFormat="1" applyFont="1" applyFill="1" applyBorder="1" applyAlignment="1">
      <alignment vertical="center"/>
    </xf>
    <xf numFmtId="3" fontId="0" fillId="68" borderId="63" xfId="0" applyNumberFormat="1" applyFont="1" applyFill="1" applyBorder="1" applyAlignment="1">
      <alignment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2111.4614740000002</c:v>
                </c:pt>
                <c:pt idx="1">
                  <c:v>2425.6197429801387</c:v>
                </c:pt>
                <c:pt idx="2">
                  <c:v>147.89725000000001</c:v>
                </c:pt>
                <c:pt idx="3">
                  <c:v>58.634888000000004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2072.2174348909989</c:v>
                </c:pt>
                <c:pt idx="1">
                  <c:v>2684.0507212393213</c:v>
                </c:pt>
                <c:pt idx="2">
                  <c:v>172.72225510999985</c:v>
                </c:pt>
                <c:pt idx="3">
                  <c:v>58.951758802499988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75872"/>
        <c:axId val="195782144"/>
      </c:barChart>
      <c:catAx>
        <c:axId val="19577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5782144"/>
        <c:crosses val="autoZero"/>
        <c:auto val="1"/>
        <c:lblAlgn val="ctr"/>
        <c:lblOffset val="100"/>
        <c:noMultiLvlLbl val="0"/>
      </c:catAx>
      <c:valAx>
        <c:axId val="1957821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577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1651.3387707923523</c:v>
                </c:pt>
                <c:pt idx="2" formatCode="_ * #,##0.00_ ;_ * \-#,##0.00_ ;_ * &quot;-&quot;??_ ;_ @_ ">
                  <c:v>6.4619999999999999E-3</c:v>
                </c:pt>
                <c:pt idx="3">
                  <c:v>2484.1472226185724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72.452079117500006</c:v>
                </c:pt>
                <c:pt idx="1">
                  <c:v>287.18866598309353</c:v>
                </c:pt>
                <c:pt idx="2">
                  <c:v>58.951758802499988</c:v>
                </c:pt>
                <c:pt idx="3">
                  <c:v>43.559192160907401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33.829997999999996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4135.4924554109248</c:v>
                </c:pt>
                <c:pt idx="1">
                  <c:v>462.15169606400093</c:v>
                </c:pt>
                <c:pt idx="2">
                  <c:v>356.46802056789369</c:v>
                </c:pt>
                <c:pt idx="3">
                  <c:v>33.829997999999996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1448832"/>
        <c:axId val="221465600"/>
      </c:barChart>
      <c:catAx>
        <c:axId val="2214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1465600"/>
        <c:crosses val="autoZero"/>
        <c:auto val="1"/>
        <c:lblAlgn val="ctr"/>
        <c:lblOffset val="100"/>
        <c:noMultiLvlLbl val="0"/>
      </c:catAx>
      <c:valAx>
        <c:axId val="2214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14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PIURA</c:v>
                </c:pt>
                <c:pt idx="5">
                  <c:v>ICA</c:v>
                </c:pt>
                <c:pt idx="6">
                  <c:v>CUSCO</c:v>
                </c:pt>
                <c:pt idx="7">
                  <c:v>LA LIBERTAD</c:v>
                </c:pt>
                <c:pt idx="8">
                  <c:v>CAJAMARCA</c:v>
                </c:pt>
                <c:pt idx="9">
                  <c:v>AREQUIPA</c:v>
                </c:pt>
                <c:pt idx="10">
                  <c:v>ANCASH</c:v>
                </c:pt>
                <c:pt idx="11">
                  <c:v>HUANUCO</c:v>
                </c:pt>
                <c:pt idx="12">
                  <c:v>PUNO</c:v>
                </c:pt>
                <c:pt idx="13">
                  <c:v>PASCO</c:v>
                </c:pt>
                <c:pt idx="14">
                  <c:v>MOQUEGUA</c:v>
                </c:pt>
                <c:pt idx="15">
                  <c:v>UCAYALI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2490.414433862456</c:v>
                </c:pt>
                <c:pt idx="1">
                  <c:v>818.64727549975726</c:v>
                </c:pt>
                <c:pt idx="2">
                  <c:v>339.85126105412314</c:v>
                </c:pt>
                <c:pt idx="3">
                  <c:v>213.7663174262708</c:v>
                </c:pt>
                <c:pt idx="4">
                  <c:v>144.76976613500008</c:v>
                </c:pt>
                <c:pt idx="5">
                  <c:v>112.32641885000001</c:v>
                </c:pt>
                <c:pt idx="6">
                  <c:v>111.71421296249999</c:v>
                </c:pt>
                <c:pt idx="7">
                  <c:v>103.4527707399792</c:v>
                </c:pt>
                <c:pt idx="8">
                  <c:v>94.766987402081043</c:v>
                </c:pt>
                <c:pt idx="9">
                  <c:v>91.255967948985415</c:v>
                </c:pt>
                <c:pt idx="10">
                  <c:v>85.727864754562106</c:v>
                </c:pt>
                <c:pt idx="11">
                  <c:v>79.306295667499967</c:v>
                </c:pt>
                <c:pt idx="12">
                  <c:v>66.936278814999994</c:v>
                </c:pt>
                <c:pt idx="13">
                  <c:v>65.005361338755321</c:v>
                </c:pt>
                <c:pt idx="14">
                  <c:v>61.833452499999993</c:v>
                </c:pt>
                <c:pt idx="15">
                  <c:v>42.773645807499989</c:v>
                </c:pt>
                <c:pt idx="16">
                  <c:v>33.829997999999996</c:v>
                </c:pt>
                <c:pt idx="17">
                  <c:v>12.894380990000002</c:v>
                </c:pt>
                <c:pt idx="18">
                  <c:v>4.6528679575000016</c:v>
                </c:pt>
                <c:pt idx="19">
                  <c:v>4.2218</c:v>
                </c:pt>
                <c:pt idx="20">
                  <c:v>4.1293503333333339</c:v>
                </c:pt>
                <c:pt idx="21">
                  <c:v>3.5032803333333336</c:v>
                </c:pt>
                <c:pt idx="22">
                  <c:v>1.1005480000000001</c:v>
                </c:pt>
                <c:pt idx="23">
                  <c:v>0.92914063418217441</c:v>
                </c:pt>
                <c:pt idx="24">
                  <c:v>0.13249303000000001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21134208"/>
        <c:axId val="221160576"/>
      </c:barChart>
      <c:catAx>
        <c:axId val="2211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21160576"/>
        <c:crosses val="autoZero"/>
        <c:auto val="1"/>
        <c:lblAlgn val="ctr"/>
        <c:lblOffset val="100"/>
        <c:noMultiLvlLbl val="0"/>
      </c:catAx>
      <c:valAx>
        <c:axId val="22116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211342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143.71440198013923</c:v>
                </c:pt>
                <c:pt idx="1">
                  <c:v>144.28224450287433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4599.8989529999999</c:v>
                </c:pt>
                <c:pt idx="1">
                  <c:v>4843.659925539946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932736"/>
        <c:axId val="216934272"/>
        <c:axId val="192346752"/>
      </c:bar3DChart>
      <c:catAx>
        <c:axId val="2169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934272"/>
        <c:crosses val="autoZero"/>
        <c:auto val="1"/>
        <c:lblAlgn val="ctr"/>
        <c:lblOffset val="100"/>
        <c:noMultiLvlLbl val="0"/>
      </c:catAx>
      <c:valAx>
        <c:axId val="21693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932736"/>
        <c:crosses val="autoZero"/>
        <c:crossBetween val="between"/>
      </c:valAx>
      <c:serAx>
        <c:axId val="192346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9342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1976.9919756775</c:v>
                </c:pt>
                <c:pt idx="1">
                  <c:v>1958.8651069334985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2367.8603309801388</c:v>
                </c:pt>
                <c:pt idx="1">
                  <c:v>2635.5710999120734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134.46949832249996</c:v>
                </c:pt>
                <c:pt idx="1">
                  <c:v>113.35232795750005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264.29155000000003</c:v>
                </c:pt>
                <c:pt idx="1">
                  <c:v>280.15363523974793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8939776"/>
        <c:axId val="218941312"/>
        <c:axId val="0"/>
      </c:bar3DChart>
      <c:catAx>
        <c:axId val="2189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941312"/>
        <c:crosses val="autoZero"/>
        <c:auto val="1"/>
        <c:lblAlgn val="ctr"/>
        <c:lblOffset val="100"/>
        <c:noMultiLvlLbl val="0"/>
      </c:catAx>
      <c:valAx>
        <c:axId val="2189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93977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Julio 2022 </a:t>
            </a:r>
          </a:p>
          <a:p>
            <a:pPr>
              <a:defRPr sz="900"/>
            </a:pPr>
            <a:r>
              <a:rPr lang="en-US" sz="900"/>
              <a:t>Total: 4 988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8.9715374929484684E-3"/>
                  <c:y val="0.128299779401735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787618242250092E-2"/>
                  <c:y val="-0.15538180496371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2943955371932125E-3"/>
                  <c:y val="-4.01700613869547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2451209992193599E-3"/>
                  <c:y val="-4.7281323877068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3676814988290398E-3"/>
                  <c:y val="7.0921985815602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5775028458693372"/>
                  <c:y val="-9.6354882148870877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Mcdo. Elect.; 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4 837; 97%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40.816544411023422</c:v>
                </c:pt>
                <c:pt idx="1">
                  <c:v>109.79801061120322</c:v>
                </c:pt>
                <c:pt idx="2">
                  <c:v>2031.4008904799753</c:v>
                </c:pt>
                <c:pt idx="3">
                  <c:v>2574.2527106281182</c:v>
                </c:pt>
                <c:pt idx="4">
                  <c:v>231.67401391249984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2072.2174348909989</c:v>
                </c:pt>
                <c:pt idx="1">
                  <c:v>2457.0309424943575</c:v>
                </c:pt>
                <c:pt idx="2">
                  <c:v>178.43354026746601</c:v>
                </c:pt>
                <c:pt idx="3">
                  <c:v>48.479621327248083</c:v>
                </c:pt>
                <c:pt idx="4">
                  <c:v>172.72225510999985</c:v>
                </c:pt>
                <c:pt idx="5">
                  <c:v>58.951758802499988</c:v>
                </c:pt>
                <c:pt idx="6" formatCode="#,##0.0">
                  <c:v>0.10661715025003074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6771584"/>
        <c:axId val="216807296"/>
      </c:barChart>
      <c:catAx>
        <c:axId val="2167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807296"/>
        <c:crosses val="autoZero"/>
        <c:auto val="1"/>
        <c:lblAlgn val="ctr"/>
        <c:lblOffset val="100"/>
        <c:noMultiLvlLbl val="0"/>
      </c:catAx>
      <c:valAx>
        <c:axId val="21680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77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4479.3218049801389</c:v>
                </c:pt>
                <c:pt idx="1">
                  <c:v>4707.7885348030723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264.29155000000003</c:v>
                </c:pt>
                <c:pt idx="1">
                  <c:v>280.15363523974793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16683648"/>
        <c:axId val="216685184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466172524470091E-2"/>
                  <c:y val="2.1044150271167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30296600483626E-2"/>
                  <c:y val="-1.146628322825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5.5715238621320266E-2</c:v>
                </c:pt>
                <c:pt idx="1">
                  <c:v>5.6166175486622151E-2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01184"/>
        <c:axId val="216699648"/>
      </c:lineChart>
      <c:catAx>
        <c:axId val="2166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685184"/>
        <c:crosses val="autoZero"/>
        <c:auto val="1"/>
        <c:lblAlgn val="ctr"/>
        <c:lblOffset val="100"/>
        <c:noMultiLvlLbl val="1"/>
      </c:catAx>
      <c:valAx>
        <c:axId val="216685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683648"/>
        <c:crosses val="autoZero"/>
        <c:crossBetween val="between"/>
        <c:majorUnit val="1000"/>
      </c:valAx>
      <c:valAx>
        <c:axId val="21669964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6701184"/>
        <c:crosses val="max"/>
        <c:crossBetween val="between"/>
      </c:valAx>
      <c:catAx>
        <c:axId val="216701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69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400770227834382E-2"/>
                  <c:y val="0.32357305525717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2111.4614740000002</c:v>
                </c:pt>
                <c:pt idx="1">
                  <c:v>2292.7846680000002</c:v>
                </c:pt>
                <c:pt idx="2">
                  <c:v>74.870662980139059</c:v>
                </c:pt>
                <c:pt idx="3" formatCode="#,##0.00">
                  <c:v>0.20499999999999999</c:v>
                </c:pt>
                <c:pt idx="4">
                  <c:v>57.759411999999998</c:v>
                </c:pt>
                <c:pt idx="5">
                  <c:v>147.89725000000001</c:v>
                </c:pt>
                <c:pt idx="6">
                  <c:v>58.634888000000004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2072.2174348909989</c:v>
                </c:pt>
                <c:pt idx="1">
                  <c:v>2457.0309424943575</c:v>
                </c:pt>
                <c:pt idx="2">
                  <c:v>178.43354026746601</c:v>
                </c:pt>
                <c:pt idx="3" formatCode="#,##0.00">
                  <c:v>0.10661715025003074</c:v>
                </c:pt>
                <c:pt idx="4">
                  <c:v>48.479621327248083</c:v>
                </c:pt>
                <c:pt idx="5">
                  <c:v>172.72225510999985</c:v>
                </c:pt>
                <c:pt idx="6">
                  <c:v>58.951758802499988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100.27017599249984</c:v>
                </c:pt>
                <c:pt idx="1">
                  <c:v>133.68999811555273</c:v>
                </c:pt>
                <c:pt idx="2">
                  <c:v>0</c:v>
                </c:pt>
                <c:pt idx="3">
                  <c:v>122.50784645984112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5</xdr:row>
      <xdr:rowOff>9525</xdr:rowOff>
    </xdr:from>
    <xdr:to>
      <xdr:col>14</xdr:col>
      <xdr:colOff>66674</xdr:colOff>
      <xdr:row>18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julio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38494" y="972764"/>
          <a:ext cx="6691032" cy="2328312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zoomScaleNormal="100" zoomScaleSheetLayoutView="100" workbookViewId="0">
      <selection activeCell="M52" sqref="M52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7.285156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5.5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5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5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1" t="s">
        <v>64</v>
      </c>
      <c r="R11" s="142" t="s">
        <v>41</v>
      </c>
      <c r="S11" s="143">
        <f>E12</f>
        <v>40.816544411023422</v>
      </c>
    </row>
    <row r="12" spans="2:19" s="1" customFormat="1">
      <c r="B12" s="8"/>
      <c r="C12" s="133" t="s">
        <v>66</v>
      </c>
      <c r="D12" s="134">
        <v>2031.4008904799753</v>
      </c>
      <c r="E12" s="135">
        <v>40.816544411023422</v>
      </c>
      <c r="F12" s="136">
        <f>SUM(D12:E12)</f>
        <v>2072.2174348909989</v>
      </c>
      <c r="G12" s="327">
        <f>(F12/F$16)</f>
        <v>0.41544536088180223</v>
      </c>
      <c r="H12" s="9"/>
      <c r="I12" s="9"/>
      <c r="J12" s="9"/>
      <c r="K12" s="9"/>
      <c r="Q12" s="371"/>
      <c r="R12" s="142" t="s">
        <v>73</v>
      </c>
      <c r="S12" s="143">
        <f>E13</f>
        <v>109.79801061120322</v>
      </c>
    </row>
    <row r="13" spans="2:19" s="1" customFormat="1">
      <c r="B13" s="8"/>
      <c r="C13" s="133" t="s">
        <v>65</v>
      </c>
      <c r="D13" s="134">
        <v>2574.2527106281182</v>
      </c>
      <c r="E13" s="135">
        <v>109.79801061120322</v>
      </c>
      <c r="F13" s="136">
        <f>SUM(D13:E13)</f>
        <v>2684.0507212393213</v>
      </c>
      <c r="G13" s="327">
        <f>(F13/F$16)</f>
        <v>0.53810782678265889</v>
      </c>
      <c r="H13" s="9"/>
      <c r="I13" s="9"/>
      <c r="J13" s="9"/>
      <c r="K13" s="9"/>
      <c r="Q13" s="371" t="s">
        <v>88</v>
      </c>
      <c r="R13" s="142" t="s">
        <v>41</v>
      </c>
      <c r="S13" s="143">
        <f>D12</f>
        <v>2031.4008904799753</v>
      </c>
    </row>
    <row r="14" spans="2:19" s="1" customFormat="1">
      <c r="B14" s="8"/>
      <c r="C14" s="133" t="s">
        <v>67</v>
      </c>
      <c r="D14" s="134">
        <v>172.72225510999985</v>
      </c>
      <c r="E14" s="137"/>
      <c r="F14" s="136">
        <f>SUM(D14:E14)</f>
        <v>172.72225510999985</v>
      </c>
      <c r="G14" s="327">
        <f>(F14/F$16)</f>
        <v>3.4627958629383448E-2</v>
      </c>
      <c r="H14" s="9"/>
      <c r="I14" s="9"/>
      <c r="J14" s="9"/>
      <c r="K14" s="9"/>
      <c r="Q14" s="371"/>
      <c r="R14" s="142" t="s">
        <v>73</v>
      </c>
      <c r="S14" s="143">
        <f>D13</f>
        <v>2574.2527106281182</v>
      </c>
    </row>
    <row r="15" spans="2:19" s="1" customFormat="1" ht="13.5" thickBot="1">
      <c r="B15" s="8"/>
      <c r="C15" s="138" t="s">
        <v>5</v>
      </c>
      <c r="D15" s="139">
        <v>58.951758802499988</v>
      </c>
      <c r="E15" s="140"/>
      <c r="F15" s="141">
        <f>SUM(D15:E15)</f>
        <v>58.951758802499988</v>
      </c>
      <c r="G15" s="328">
        <f>(F15/F$16)</f>
        <v>1.1818853706155522E-2</v>
      </c>
      <c r="H15" s="9"/>
      <c r="I15" s="9"/>
      <c r="J15" s="9"/>
      <c r="K15" s="9"/>
      <c r="Q15" s="371"/>
      <c r="R15" s="142" t="s">
        <v>87</v>
      </c>
      <c r="S15" s="143">
        <f>SUM(D14:D15)</f>
        <v>231.67401391249984</v>
      </c>
    </row>
    <row r="16" spans="2:19" s="1" customFormat="1" ht="13.5" thickTop="1">
      <c r="B16" s="8"/>
      <c r="C16" s="241" t="s">
        <v>71</v>
      </c>
      <c r="D16" s="242">
        <f>SUM(D12:D15)</f>
        <v>4837.3276150205929</v>
      </c>
      <c r="E16" s="243">
        <f>SUM(E12:E15)</f>
        <v>150.61455502222665</v>
      </c>
      <c r="F16" s="244">
        <f>SUM(F12:F15)</f>
        <v>4987.9421700428193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0.96980427000000013</v>
      </c>
      <c r="E17" s="310">
        <f>E16/F16</f>
        <v>3.0195729999999917E-2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67" t="s">
        <v>112</v>
      </c>
      <c r="D23" s="368"/>
      <c r="E23" s="372" t="s">
        <v>126</v>
      </c>
      <c r="F23" s="373"/>
      <c r="G23" s="147" t="s">
        <v>74</v>
      </c>
      <c r="H23" s="374" t="s">
        <v>127</v>
      </c>
      <c r="I23" s="375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143.71440198013923</v>
      </c>
      <c r="S24" s="143">
        <f>F29</f>
        <v>144.28224450287433</v>
      </c>
    </row>
    <row r="25" spans="2:19" s="1" customFormat="1">
      <c r="B25" s="8"/>
      <c r="C25" s="363" t="s">
        <v>0</v>
      </c>
      <c r="D25" s="364"/>
      <c r="E25" s="187">
        <f>SUM(E26:E28)</f>
        <v>4599.8989529999999</v>
      </c>
      <c r="F25" s="188">
        <f>SUM(F26:F28)</f>
        <v>4843.659925539946</v>
      </c>
      <c r="G25" s="189">
        <f>((F25/E25)-1)</f>
        <v>5.2992679845927482E-2</v>
      </c>
      <c r="H25" s="232">
        <f>SUM(H26:H28)</f>
        <v>32072.393702999998</v>
      </c>
      <c r="I25" s="188">
        <f>SUM(I26:I28)</f>
        <v>33115.67236737904</v>
      </c>
      <c r="J25" s="189">
        <f>((I25/H25)-1)</f>
        <v>3.25288680988427E-2</v>
      </c>
      <c r="K25" s="9"/>
      <c r="Q25" s="142" t="s">
        <v>0</v>
      </c>
      <c r="R25" s="143">
        <f>E25</f>
        <v>4599.8989529999999</v>
      </c>
      <c r="S25" s="143">
        <f>F25</f>
        <v>4843.659925539946</v>
      </c>
    </row>
    <row r="26" spans="2:19" s="1" customFormat="1">
      <c r="B26" s="8"/>
      <c r="C26" s="261" t="s">
        <v>62</v>
      </c>
      <c r="D26" s="270" t="s">
        <v>102</v>
      </c>
      <c r="E26" s="154">
        <v>4483.8206929999997</v>
      </c>
      <c r="F26" s="155">
        <v>4697.0451141849962</v>
      </c>
      <c r="G26" s="273">
        <f t="shared" ref="G26:G32" si="0">((F26/E26)-1)</f>
        <v>4.755418108442111E-2</v>
      </c>
      <c r="H26" s="233">
        <v>31135.905145000001</v>
      </c>
      <c r="I26" s="155">
        <v>31991.265864582492</v>
      </c>
      <c r="J26" s="156">
        <f t="shared" ref="J26:J32" si="1">((I26/H26)-1)</f>
        <v>2.7471843699390597E-2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76.719961999999981</v>
      </c>
      <c r="F27" s="265">
        <v>102.93659039850408</v>
      </c>
      <c r="G27" s="274">
        <f t="shared" si="0"/>
        <v>0.34171847476285389</v>
      </c>
      <c r="H27" s="266">
        <v>631.97543099999984</v>
      </c>
      <c r="I27" s="265">
        <v>794.26257964920569</v>
      </c>
      <c r="J27" s="274">
        <f t="shared" si="1"/>
        <v>0.25679344589775033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39.358298000000005</v>
      </c>
      <c r="F28" s="155">
        <v>43.678220956445728</v>
      </c>
      <c r="G28" s="273">
        <f t="shared" si="0"/>
        <v>0.10975888633308584</v>
      </c>
      <c r="H28" s="233">
        <v>304.513127</v>
      </c>
      <c r="I28" s="155">
        <v>330.14392314734306</v>
      </c>
      <c r="J28" s="273">
        <f t="shared" si="1"/>
        <v>8.4169757802733614E-2</v>
      </c>
      <c r="K28" s="9"/>
    </row>
    <row r="29" spans="2:19" s="1" customFormat="1">
      <c r="B29" s="8"/>
      <c r="C29" s="363" t="s">
        <v>76</v>
      </c>
      <c r="D29" s="364"/>
      <c r="E29" s="187">
        <f>SUM(E30:E31)</f>
        <v>143.71440198013923</v>
      </c>
      <c r="F29" s="188">
        <f>SUM(F30:F31)</f>
        <v>144.28224450287433</v>
      </c>
      <c r="G29" s="189">
        <f t="shared" si="0"/>
        <v>3.9511873195114955E-3</v>
      </c>
      <c r="H29" s="232">
        <f>SUM(H30:H31)</f>
        <v>1063.4968478609749</v>
      </c>
      <c r="I29" s="188">
        <f>SUM(I30:I31)</f>
        <v>1083.1052874697805</v>
      </c>
      <c r="J29" s="189">
        <f t="shared" si="1"/>
        <v>1.843770355149088E-2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39.462773999999989</v>
      </c>
      <c r="F30" s="155">
        <v>37.345910437093437</v>
      </c>
      <c r="G30" s="273">
        <f t="shared" si="0"/>
        <v>-5.3642036490048839E-2</v>
      </c>
      <c r="H30" s="233">
        <v>273.23403599999995</v>
      </c>
      <c r="I30" s="155">
        <v>281.77060780892077</v>
      </c>
      <c r="J30" s="273">
        <f t="shared" si="1"/>
        <v>3.1242710219750336E-2</v>
      </c>
      <c r="K30" s="9"/>
    </row>
    <row r="31" spans="2:19" s="1" customFormat="1" ht="13.5" thickBot="1">
      <c r="B31" s="8"/>
      <c r="C31" s="268" t="s">
        <v>64</v>
      </c>
      <c r="D31" s="269"/>
      <c r="E31" s="158">
        <v>104.25162798013925</v>
      </c>
      <c r="F31" s="159">
        <v>106.93633406578091</v>
      </c>
      <c r="G31" s="293">
        <f t="shared" si="0"/>
        <v>2.575217421212006E-2</v>
      </c>
      <c r="H31" s="234">
        <v>790.26281186097481</v>
      </c>
      <c r="I31" s="159">
        <v>801.33467966085971</v>
      </c>
      <c r="J31" s="293">
        <f t="shared" si="1"/>
        <v>1.4010361659068771E-2</v>
      </c>
      <c r="K31" s="9"/>
    </row>
    <row r="32" spans="2:19" s="1" customFormat="1" ht="14.25" thickTop="1" thickBot="1">
      <c r="B32" s="8"/>
      <c r="C32" s="365" t="s">
        <v>108</v>
      </c>
      <c r="D32" s="366"/>
      <c r="E32" s="190">
        <f>SUM(E25,E29)</f>
        <v>4743.6133549801389</v>
      </c>
      <c r="F32" s="191">
        <f>SUM(F25,F29)</f>
        <v>4987.9421700428202</v>
      </c>
      <c r="G32" s="192">
        <f t="shared" si="0"/>
        <v>5.1506899230345127E-2</v>
      </c>
      <c r="H32" s="235">
        <f>SUM(H25,H29)</f>
        <v>33135.890550860975</v>
      </c>
      <c r="I32" s="191">
        <f>SUM(I25,I29)</f>
        <v>34198.777654848818</v>
      </c>
      <c r="J32" s="192">
        <f t="shared" si="1"/>
        <v>3.2076611985315306E-2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2" t="s">
        <v>126</v>
      </c>
      <c r="F38" s="373"/>
      <c r="G38" s="369" t="s">
        <v>74</v>
      </c>
      <c r="H38" s="374" t="s">
        <v>127</v>
      </c>
      <c r="I38" s="375"/>
      <c r="J38" s="369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70"/>
      <c r="H39" s="231">
        <v>2021</v>
      </c>
      <c r="I39" s="151">
        <v>2022</v>
      </c>
      <c r="J39" s="370"/>
      <c r="K39" s="9"/>
      <c r="Q39" s="142" t="s">
        <v>66</v>
      </c>
      <c r="R39" s="143">
        <f>SUM(E41,E46)</f>
        <v>2111.4614740000002</v>
      </c>
      <c r="S39" s="143">
        <f>SUM(F41,F46)</f>
        <v>2072.2174348909989</v>
      </c>
    </row>
    <row r="40" spans="2:19" s="1" customFormat="1">
      <c r="B40" s="8"/>
      <c r="C40" s="363" t="s">
        <v>68</v>
      </c>
      <c r="D40" s="364"/>
      <c r="E40" s="187">
        <f>SUM(E41:E44)</f>
        <v>4600.0034289999994</v>
      </c>
      <c r="F40" s="188">
        <f>SUM(F41:F44)</f>
        <v>4837.3276150205929</v>
      </c>
      <c r="G40" s="189">
        <f>((F40/E40)-1)</f>
        <v>5.1592175893700576E-2</v>
      </c>
      <c r="H40" s="232">
        <f>SUM(H41:H44)</f>
        <v>32041.114611999998</v>
      </c>
      <c r="I40" s="188">
        <f>SUM(I41:I44)</f>
        <v>33067.299052040624</v>
      </c>
      <c r="J40" s="189">
        <f>((I40/H40)-1)</f>
        <v>3.2027114301957038E-2</v>
      </c>
      <c r="K40" s="9"/>
      <c r="Q40" s="142" t="s">
        <v>65</v>
      </c>
      <c r="R40" s="143">
        <f>SUM(E42,E47)</f>
        <v>2425.6197429801387</v>
      </c>
      <c r="S40" s="143">
        <f>SUM(F42,F47)</f>
        <v>2684.0507212393213</v>
      </c>
    </row>
    <row r="41" spans="2:19" s="1" customFormat="1">
      <c r="B41" s="8"/>
      <c r="C41" s="153" t="s">
        <v>66</v>
      </c>
      <c r="D41" s="128"/>
      <c r="E41" s="154">
        <v>2065.468241</v>
      </c>
      <c r="F41" s="155">
        <f>D12</f>
        <v>2031.4008904799753</v>
      </c>
      <c r="G41" s="273">
        <f t="shared" ref="G41:G48" si="2">((F41/E41)-1)</f>
        <v>-1.6493766325610948E-2</v>
      </c>
      <c r="H41" s="233">
        <v>19699.090928999998</v>
      </c>
      <c r="I41" s="155">
        <v>19315.597052244008</v>
      </c>
      <c r="J41" s="273">
        <f t="shared" ref="J41:J48" si="3">((I41/H41)-1)</f>
        <v>-1.9467592597962491E-2</v>
      </c>
      <c r="K41" s="9"/>
      <c r="Q41" s="142" t="s">
        <v>67</v>
      </c>
      <c r="R41" s="143">
        <f>E43</f>
        <v>147.89725000000001</v>
      </c>
      <c r="S41" s="143">
        <f>F43</f>
        <v>172.72225510999985</v>
      </c>
    </row>
    <row r="42" spans="2:19" s="1" customFormat="1">
      <c r="B42" s="8"/>
      <c r="C42" s="153" t="s">
        <v>65</v>
      </c>
      <c r="D42" s="128"/>
      <c r="E42" s="154">
        <v>2328.0030499999993</v>
      </c>
      <c r="F42" s="155">
        <f>D13</f>
        <v>2574.2527106281182</v>
      </c>
      <c r="G42" s="273">
        <f t="shared" si="2"/>
        <v>0.10577720704795412</v>
      </c>
      <c r="H42" s="233">
        <v>10877.481902</v>
      </c>
      <c r="I42" s="155">
        <v>12216.292580714118</v>
      </c>
      <c r="J42" s="273">
        <f t="shared" si="3"/>
        <v>0.12308093828847988</v>
      </c>
      <c r="K42" s="9"/>
      <c r="Q42" s="142" t="s">
        <v>5</v>
      </c>
      <c r="R42" s="143">
        <f>E44</f>
        <v>58.634888000000004</v>
      </c>
      <c r="S42" s="143">
        <f>F44</f>
        <v>58.951758802499988</v>
      </c>
    </row>
    <row r="43" spans="2:19" s="1" customFormat="1">
      <c r="B43" s="8"/>
      <c r="C43" s="153" t="s">
        <v>67</v>
      </c>
      <c r="D43" s="128"/>
      <c r="E43" s="154">
        <v>147.89725000000001</v>
      </c>
      <c r="F43" s="155">
        <f>D14</f>
        <v>172.72225510999985</v>
      </c>
      <c r="G43" s="273">
        <f t="shared" si="2"/>
        <v>0.16785305413048479</v>
      </c>
      <c r="H43" s="233">
        <v>1032.24818</v>
      </c>
      <c r="I43" s="155">
        <v>1096.5870306775</v>
      </c>
      <c r="J43" s="273">
        <f t="shared" si="3"/>
        <v>6.2328858431603074E-2</v>
      </c>
      <c r="K43" s="9"/>
    </row>
    <row r="44" spans="2:19" s="1" customFormat="1">
      <c r="B44" s="8"/>
      <c r="C44" s="153" t="s">
        <v>5</v>
      </c>
      <c r="D44" s="128"/>
      <c r="E44" s="154">
        <v>58.634888000000004</v>
      </c>
      <c r="F44" s="155">
        <f>D15</f>
        <v>58.951758802499988</v>
      </c>
      <c r="G44" s="355">
        <f t="shared" si="2"/>
        <v>5.404134182024567E-3</v>
      </c>
      <c r="H44" s="233">
        <v>432.29360100000002</v>
      </c>
      <c r="I44" s="155">
        <v>438.82238840499991</v>
      </c>
      <c r="J44" s="156">
        <f t="shared" si="3"/>
        <v>1.5102669551196657E-2</v>
      </c>
      <c r="K44" s="9"/>
      <c r="Q44" s="142"/>
      <c r="R44" s="142"/>
      <c r="S44" s="142"/>
    </row>
    <row r="45" spans="2:19" s="1" customFormat="1">
      <c r="B45" s="8"/>
      <c r="C45" s="363" t="s">
        <v>64</v>
      </c>
      <c r="D45" s="364"/>
      <c r="E45" s="187">
        <f>SUM(E46:E47)</f>
        <v>143.60992598013925</v>
      </c>
      <c r="F45" s="188">
        <f>SUM(F46:F47)</f>
        <v>150.61455502222665</v>
      </c>
      <c r="G45" s="189">
        <f t="shared" si="2"/>
        <v>4.8775382302307602E-2</v>
      </c>
      <c r="H45" s="232">
        <f>SUM(H46:H47)</f>
        <v>1094.7759388609747</v>
      </c>
      <c r="I45" s="188">
        <f>SUM(I46:I47)</f>
        <v>1131.478602808203</v>
      </c>
      <c r="J45" s="189">
        <f t="shared" si="3"/>
        <v>3.3525274573913633E-2</v>
      </c>
      <c r="K45" s="9"/>
    </row>
    <row r="46" spans="2:19" s="1" customFormat="1">
      <c r="B46" s="8"/>
      <c r="C46" s="153" t="s">
        <v>66</v>
      </c>
      <c r="D46" s="128"/>
      <c r="E46" s="154">
        <v>45.993233000000004</v>
      </c>
      <c r="F46" s="155">
        <f>E12</f>
        <v>40.816544411023422</v>
      </c>
      <c r="G46" s="156">
        <f t="shared" si="2"/>
        <v>-0.11255326602016824</v>
      </c>
      <c r="H46" s="233">
        <v>396.09185600000001</v>
      </c>
      <c r="I46" s="155">
        <v>368.51592684479579</v>
      </c>
      <c r="J46" s="156">
        <f t="shared" si="3"/>
        <v>-6.9620035700012517E-2</v>
      </c>
      <c r="K46" s="9"/>
    </row>
    <row r="47" spans="2:19" s="1" customFormat="1" ht="13.5" thickBot="1">
      <c r="B47" s="8"/>
      <c r="C47" s="157" t="s">
        <v>65</v>
      </c>
      <c r="D47" s="128"/>
      <c r="E47" s="158">
        <v>97.616692980139248</v>
      </c>
      <c r="F47" s="159">
        <f>E13</f>
        <v>109.79801061120322</v>
      </c>
      <c r="G47" s="293">
        <f t="shared" si="2"/>
        <v>0.12478723934586</v>
      </c>
      <c r="H47" s="234">
        <v>698.68408286097485</v>
      </c>
      <c r="I47" s="159">
        <v>762.96267596340715</v>
      </c>
      <c r="J47" s="160">
        <f t="shared" si="3"/>
        <v>9.1999509763016185E-2</v>
      </c>
      <c r="K47" s="9"/>
    </row>
    <row r="48" spans="2:19" s="1" customFormat="1" ht="14.25" thickTop="1" thickBot="1">
      <c r="B48" s="8"/>
      <c r="C48" s="365" t="s">
        <v>108</v>
      </c>
      <c r="D48" s="366"/>
      <c r="E48" s="190">
        <f>SUM(E40,E45)</f>
        <v>4743.6133549801389</v>
      </c>
      <c r="F48" s="191">
        <f>SUM(F40,F45)</f>
        <v>4987.9421700428193</v>
      </c>
      <c r="G48" s="192">
        <f t="shared" si="2"/>
        <v>5.1506899230344905E-2</v>
      </c>
      <c r="H48" s="235">
        <f>SUM(H40,H45)</f>
        <v>33135.890550860975</v>
      </c>
      <c r="I48" s="191">
        <f>SUM(I40,I45)</f>
        <v>34198.777654848825</v>
      </c>
      <c r="J48" s="192">
        <f t="shared" si="3"/>
        <v>3.2076611985315528E-2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5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2" t="s">
        <v>126</v>
      </c>
      <c r="F54" s="373"/>
      <c r="G54" s="369" t="s">
        <v>74</v>
      </c>
      <c r="H54" s="374" t="s">
        <v>127</v>
      </c>
      <c r="I54" s="375"/>
      <c r="J54" s="369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70"/>
      <c r="H55" s="231">
        <v>2021</v>
      </c>
      <c r="I55" s="151">
        <v>2022</v>
      </c>
      <c r="J55" s="370"/>
      <c r="K55" s="9"/>
      <c r="L55" s="254"/>
      <c r="M55" s="254"/>
    </row>
    <row r="56" spans="2:23" s="1" customFormat="1">
      <c r="B56" s="8"/>
      <c r="C56" s="363" t="s">
        <v>68</v>
      </c>
      <c r="D56" s="364"/>
      <c r="E56" s="187">
        <f>SUM(E57:E60)</f>
        <v>4600.0034289999994</v>
      </c>
      <c r="F56" s="188">
        <f>SUM(F57:F60)</f>
        <v>4837.3276150205929</v>
      </c>
      <c r="G56" s="189">
        <f>((F56/E56)-1)</f>
        <v>5.1592175893700576E-2</v>
      </c>
      <c r="H56" s="232">
        <f>SUM(H57:H60)</f>
        <v>32041.114611999998</v>
      </c>
      <c r="I56" s="188">
        <f>SUM(I57:I60)</f>
        <v>33067.299052040631</v>
      </c>
      <c r="J56" s="189">
        <f>((I56/H56)-1)</f>
        <v>3.202711430195726E-2</v>
      </c>
      <c r="K56" s="9"/>
    </row>
    <row r="57" spans="2:23" s="1" customFormat="1" ht="25.5">
      <c r="B57" s="8"/>
      <c r="C57" s="377" t="s">
        <v>78</v>
      </c>
      <c r="D57" s="275" t="s">
        <v>79</v>
      </c>
      <c r="E57" s="317">
        <f>SUM(E43:E44)+39.281329</f>
        <v>245.81346700000003</v>
      </c>
      <c r="F57" s="318">
        <f>SUM(F43:F44)+33.8915760335401</f>
        <v>265.56558994603995</v>
      </c>
      <c r="G57" s="167">
        <f t="shared" ref="G57:G65" si="4">((F57/E57)-1)</f>
        <v>8.0354112356423091E-2</v>
      </c>
      <c r="H57" s="319">
        <f>SUM(H43:H44)+193.063494</f>
        <v>1657.6052750000001</v>
      </c>
      <c r="I57" s="318">
        <f>SUM(I43:I44)+173.50778346104</f>
        <v>1708.9172025435398</v>
      </c>
      <c r="J57" s="167">
        <f t="shared" ref="J57:J65" si="5">((I57/H57)-1)</f>
        <v>3.0955456234017964E-2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5">
      <c r="B58" s="8"/>
      <c r="C58" s="378"/>
      <c r="D58" s="276" t="s">
        <v>110</v>
      </c>
      <c r="E58" s="264">
        <v>134.46949832249996</v>
      </c>
      <c r="F58" s="322">
        <v>113.35232795750005</v>
      </c>
      <c r="G58" s="274">
        <f t="shared" si="4"/>
        <v>-0.15704059752163513</v>
      </c>
      <c r="H58" s="266">
        <v>1490.1805757524996</v>
      </c>
      <c r="I58" s="265">
        <v>1384.3004301425008</v>
      </c>
      <c r="J58" s="274">
        <f t="shared" si="5"/>
        <v>-7.1051889504419541E-2</v>
      </c>
      <c r="K58" s="9"/>
      <c r="L58" s="254"/>
      <c r="M58" s="254"/>
      <c r="Q58" s="371" t="s">
        <v>80</v>
      </c>
      <c r="R58" s="142" t="s">
        <v>66</v>
      </c>
      <c r="T58" s="143">
        <f>SUM(E60,E64)</f>
        <v>1976.9919756775</v>
      </c>
      <c r="U58" s="143">
        <f>SUM(F60,F64)</f>
        <v>1958.8651069334985</v>
      </c>
      <c r="V58" s="144">
        <f t="shared" ref="V58:W61" si="6">T58/T$64</f>
        <v>0.41676920687516228</v>
      </c>
      <c r="W58" s="144">
        <f t="shared" si="6"/>
        <v>0.39272009180424844</v>
      </c>
    </row>
    <row r="59" spans="2:23" s="1" customFormat="1">
      <c r="B59" s="8"/>
      <c r="C59" s="376" t="s">
        <v>80</v>
      </c>
      <c r="D59" s="277" t="s">
        <v>81</v>
      </c>
      <c r="E59" s="154">
        <f>SUM(E42:E44)-E57</f>
        <v>2288.7217209999994</v>
      </c>
      <c r="F59" s="155">
        <f>SUM(F42:F44)-F57</f>
        <v>2540.3611345945783</v>
      </c>
      <c r="G59" s="273">
        <f t="shared" si="4"/>
        <v>0.10994757959680279</v>
      </c>
      <c r="H59" s="233">
        <f>SUM(H42:H44)-H57</f>
        <v>10684.418408</v>
      </c>
      <c r="I59" s="155">
        <f>SUM(I42:I44)-I57</f>
        <v>12042.784797253078</v>
      </c>
      <c r="J59" s="273">
        <f t="shared" si="5"/>
        <v>0.12713526720705692</v>
      </c>
      <c r="K59" s="9"/>
      <c r="Q59" s="371"/>
      <c r="R59" s="142" t="s">
        <v>65</v>
      </c>
      <c r="T59" s="143">
        <f>SUM(E59,E63)</f>
        <v>2367.8603309801388</v>
      </c>
      <c r="U59" s="143">
        <f>SUM(F59,F63)</f>
        <v>2635.5710999120734</v>
      </c>
      <c r="V59" s="144">
        <f t="shared" si="6"/>
        <v>0.49916807163345478</v>
      </c>
      <c r="W59" s="144">
        <f t="shared" si="6"/>
        <v>0.52838846363157566</v>
      </c>
    </row>
    <row r="60" spans="2:23" s="1" customFormat="1">
      <c r="B60" s="8"/>
      <c r="C60" s="376"/>
      <c r="D60" s="278" t="s">
        <v>41</v>
      </c>
      <c r="E60" s="154">
        <f>E41-E58</f>
        <v>1930.9987426775001</v>
      </c>
      <c r="F60" s="155">
        <f>F41-F58</f>
        <v>1918.0485625224751</v>
      </c>
      <c r="G60" s="156">
        <f t="shared" si="4"/>
        <v>-6.706467419584361E-3</v>
      </c>
      <c r="H60" s="233">
        <f>H41-H58</f>
        <v>18208.910353247498</v>
      </c>
      <c r="I60" s="155">
        <f>I41-I58</f>
        <v>17931.296622101509</v>
      </c>
      <c r="J60" s="273">
        <f t="shared" si="5"/>
        <v>-1.5246037558555914E-2</v>
      </c>
      <c r="K60" s="9"/>
      <c r="Q60" s="371" t="s">
        <v>78</v>
      </c>
      <c r="R60" s="142" t="s">
        <v>66</v>
      </c>
      <c r="T60" s="143">
        <f>E58</f>
        <v>134.46949832249996</v>
      </c>
      <c r="U60" s="143">
        <f>F58</f>
        <v>113.35232795750005</v>
      </c>
      <c r="V60" s="144">
        <f t="shared" si="6"/>
        <v>2.8347482870062661E-2</v>
      </c>
      <c r="W60" s="144">
        <f t="shared" si="6"/>
        <v>2.2725269077553671E-2</v>
      </c>
    </row>
    <row r="61" spans="2:23" s="1" customFormat="1">
      <c r="B61" s="8"/>
      <c r="C61" s="363" t="s">
        <v>64</v>
      </c>
      <c r="D61" s="364"/>
      <c r="E61" s="187">
        <f>SUM(E62:E64)</f>
        <v>143.60992598013925</v>
      </c>
      <c r="F61" s="188">
        <f>SUM(F62:F64)</f>
        <v>150.61455502222665</v>
      </c>
      <c r="G61" s="189">
        <f t="shared" si="4"/>
        <v>4.8775382302307602E-2</v>
      </c>
      <c r="H61" s="232">
        <f>SUM(H62:H64)</f>
        <v>1094.7759388609747</v>
      </c>
      <c r="I61" s="188">
        <f>SUM(I62:I64)</f>
        <v>1131.478602808203</v>
      </c>
      <c r="J61" s="189">
        <f t="shared" si="5"/>
        <v>3.3525274573913633E-2</v>
      </c>
      <c r="K61" s="9"/>
      <c r="Q61" s="371"/>
      <c r="R61" s="142" t="s">
        <v>89</v>
      </c>
      <c r="T61" s="143">
        <f>E57+E62</f>
        <v>264.29155000000003</v>
      </c>
      <c r="U61" s="143">
        <f>F57+F62</f>
        <v>280.15363523974793</v>
      </c>
      <c r="V61" s="144">
        <f t="shared" si="6"/>
        <v>5.5715238621320266E-2</v>
      </c>
      <c r="W61" s="144">
        <f t="shared" si="6"/>
        <v>5.6166175486622151E-2</v>
      </c>
    </row>
    <row r="62" spans="2:23" s="1" customFormat="1">
      <c r="B62" s="8"/>
      <c r="C62" s="305" t="s">
        <v>78</v>
      </c>
      <c r="D62" s="306" t="s">
        <v>114</v>
      </c>
      <c r="E62" s="356">
        <v>18.478082999999998</v>
      </c>
      <c r="F62" s="320">
        <v>14.58804529370796</v>
      </c>
      <c r="G62" s="307">
        <f t="shared" si="4"/>
        <v>-0.21052171409188059</v>
      </c>
      <c r="H62" s="321">
        <v>101.23211099999999</v>
      </c>
      <c r="I62" s="320">
        <v>90.980226293707972</v>
      </c>
      <c r="J62" s="307">
        <f t="shared" si="5"/>
        <v>-0.1012710750079292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79" t="s">
        <v>80</v>
      </c>
      <c r="D63" s="277" t="s">
        <v>81</v>
      </c>
      <c r="E63" s="154">
        <f>E47-E62</f>
        <v>79.13860998013925</v>
      </c>
      <c r="F63" s="155">
        <f>F47-F62</f>
        <v>95.209965317495261</v>
      </c>
      <c r="G63" s="273">
        <f>((F63/E63)-1)</f>
        <v>0.20307856482934561</v>
      </c>
      <c r="H63" s="233">
        <f>H47-H62</f>
        <v>597.45197186097482</v>
      </c>
      <c r="I63" s="155">
        <f>I47-I62</f>
        <v>671.98244966969924</v>
      </c>
      <c r="J63" s="273">
        <f>((I63/H63)-1)</f>
        <v>0.12474722876313038</v>
      </c>
      <c r="K63" s="9"/>
      <c r="Q63" s="142"/>
      <c r="R63" s="142"/>
      <c r="T63" s="142"/>
      <c r="U63" s="142"/>
      <c r="V63" s="142"/>
      <c r="W63" s="142"/>
    </row>
    <row r="64" spans="2:23" s="1" customFormat="1" ht="13.5" thickBot="1">
      <c r="B64" s="8"/>
      <c r="C64" s="380"/>
      <c r="D64" s="279" t="s">
        <v>41</v>
      </c>
      <c r="E64" s="158">
        <f>E46</f>
        <v>45.993233000000004</v>
      </c>
      <c r="F64" s="159">
        <f>F46</f>
        <v>40.816544411023422</v>
      </c>
      <c r="G64" s="160">
        <f t="shared" si="4"/>
        <v>-0.11255326602016824</v>
      </c>
      <c r="H64" s="234">
        <f>H46</f>
        <v>396.09185600000001</v>
      </c>
      <c r="I64" s="159">
        <f>I46</f>
        <v>368.51592684479579</v>
      </c>
      <c r="J64" s="160">
        <f t="shared" si="5"/>
        <v>-6.9620035700012517E-2</v>
      </c>
      <c r="K64" s="9"/>
      <c r="Q64" s="142"/>
      <c r="R64" s="142"/>
      <c r="T64" s="143">
        <f>SUM(T58:T61)</f>
        <v>4743.6133549801389</v>
      </c>
      <c r="U64" s="143">
        <f>SUM(U58:U61)</f>
        <v>4987.9421700428202</v>
      </c>
      <c r="V64" s="142"/>
      <c r="W64" s="142"/>
    </row>
    <row r="65" spans="2:22" s="1" customFormat="1" ht="14.25" thickTop="1" thickBot="1">
      <c r="B65" s="8"/>
      <c r="C65" s="365" t="s">
        <v>108</v>
      </c>
      <c r="D65" s="366"/>
      <c r="E65" s="190">
        <f>SUM(E56,E61)</f>
        <v>4743.6133549801389</v>
      </c>
      <c r="F65" s="191">
        <f>SUM(F56,F61)</f>
        <v>4987.9421700428193</v>
      </c>
      <c r="G65" s="192">
        <f t="shared" si="4"/>
        <v>5.1506899230344905E-2</v>
      </c>
      <c r="H65" s="235">
        <f>SUM(H56,H61)</f>
        <v>33135.890550860975</v>
      </c>
      <c r="I65" s="191">
        <f>SUM(I56,I61)</f>
        <v>34198.777654848833</v>
      </c>
      <c r="J65" s="192">
        <f t="shared" si="5"/>
        <v>3.2076611985315751E-2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64" zoomScaleNormal="100" zoomScaleSheetLayoutView="100" workbookViewId="0">
      <selection activeCell="I63" sqref="I63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2072.2174348909989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2457.0309424943575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178.43354026746601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48.479621327248083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172.72225510999985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58.951758802499988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0.10661715025003074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4987.9421700428202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83" t="s">
        <v>126</v>
      </c>
      <c r="E26" s="383"/>
      <c r="F26" s="384" t="s">
        <v>74</v>
      </c>
      <c r="G26" s="386" t="s">
        <v>127</v>
      </c>
      <c r="H26" s="387"/>
      <c r="I26" s="384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85"/>
      <c r="G27" s="236">
        <v>2021</v>
      </c>
      <c r="H27" s="95">
        <v>2022</v>
      </c>
      <c r="I27" s="385"/>
      <c r="J27" s="20"/>
      <c r="K27" s="54"/>
      <c r="L27" s="54"/>
      <c r="M27" s="55" t="s">
        <v>85</v>
      </c>
      <c r="N27" s="70">
        <f t="shared" ref="N27:O29" si="1">D28</f>
        <v>2111.4614740000002</v>
      </c>
      <c r="O27" s="70">
        <f t="shared" si="1"/>
        <v>2072.2174348909989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2111.4614740000002</v>
      </c>
      <c r="E28" s="166">
        <f>'Resumen (G)'!F41+'Resumen (G)'!F46</f>
        <v>2072.2174348909989</v>
      </c>
      <c r="F28" s="167">
        <f>+E28/D28-1</f>
        <v>-1.8586197092507861E-2</v>
      </c>
      <c r="G28" s="249">
        <f>'Resumen (G)'!H41+'Resumen (G)'!H46</f>
        <v>20095.182784999997</v>
      </c>
      <c r="H28" s="166">
        <f>'Resumen (G)'!I41+'Resumen (G)'!I46</f>
        <v>19684.112979088804</v>
      </c>
      <c r="I28" s="167">
        <f>+H28/G28-1</f>
        <v>-2.0456136692522886E-2</v>
      </c>
      <c r="J28" s="294"/>
      <c r="K28" s="54"/>
      <c r="L28" s="54"/>
      <c r="M28" s="55" t="s">
        <v>2</v>
      </c>
      <c r="N28" s="70">
        <f t="shared" si="1"/>
        <v>2292.7846680000002</v>
      </c>
      <c r="O28" s="70">
        <f t="shared" si="1"/>
        <v>2457.0309424943575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2292.7846680000002</v>
      </c>
      <c r="E29" s="170">
        <v>2457.0309424943575</v>
      </c>
      <c r="F29" s="171">
        <f t="shared" ref="F29:F35" si="2">+E29/D29-1</f>
        <v>7.1636153532738778E-2</v>
      </c>
      <c r="G29" s="250">
        <v>10729.038116</v>
      </c>
      <c r="H29" s="170">
        <v>11829.856330903678</v>
      </c>
      <c r="I29" s="171">
        <f t="shared" ref="I29:I35" si="3">+H29/G29-1</f>
        <v>0.102601761966159</v>
      </c>
      <c r="J29" s="256"/>
      <c r="K29" s="257"/>
      <c r="L29" s="54"/>
      <c r="M29" s="55" t="s">
        <v>84</v>
      </c>
      <c r="N29" s="70">
        <f t="shared" si="1"/>
        <v>74.870662980139059</v>
      </c>
      <c r="O29" s="70">
        <f t="shared" si="1"/>
        <v>178.43354026746601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74.870662980139059</v>
      </c>
      <c r="E30" s="170">
        <f>'Resumen (G)'!F32-SUM('TipoRecurso (G)'!E28:E29,'TipoRecurso (G)'!E31:E34)</f>
        <v>178.43354026746601</v>
      </c>
      <c r="F30" s="171">
        <f t="shared" si="2"/>
        <v>1.3832237242883649</v>
      </c>
      <c r="G30" s="250">
        <f>'Resumen (G)'!H32-SUM('TipoRecurso (G)'!G28:G29,'TipoRecurso (G)'!G31:G34)</f>
        <v>551.27241286097706</v>
      </c>
      <c r="H30" s="170">
        <f>'Resumen (G)'!I32-SUM('TipoRecurso (G)'!H28:H29,'TipoRecurso (G)'!H31:H34)</f>
        <v>883.94154922725284</v>
      </c>
      <c r="I30" s="171">
        <f t="shared" si="3"/>
        <v>0.60345689101291944</v>
      </c>
      <c r="J30" s="294"/>
      <c r="K30" s="54"/>
      <c r="L30" s="54"/>
      <c r="M30" s="55" t="s">
        <v>4</v>
      </c>
      <c r="N30" s="98">
        <f>D34</f>
        <v>0.20499999999999999</v>
      </c>
      <c r="O30" s="98">
        <f>E34</f>
        <v>0.10661715025003074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57.759411999999998</v>
      </c>
      <c r="E31" s="170">
        <f>'Resumen (G)'!F57+'Resumen (G)'!F62-SUM('TipoRecurso (G)'!E32:E33)</f>
        <v>48.479621327248083</v>
      </c>
      <c r="F31" s="171">
        <f t="shared" si="2"/>
        <v>-0.16066283141441806</v>
      </c>
      <c r="G31" s="250">
        <f>'Resumen (G)'!H57+'Resumen (G)'!H62-SUM('TipoRecurso (G)'!G32:G33)</f>
        <v>294.29560500000002</v>
      </c>
      <c r="H31" s="170">
        <f>'Resumen (G)'!I57+'Resumen (G)'!I62-SUM('TipoRecurso (G)'!H32:H33)</f>
        <v>264.48800975474796</v>
      </c>
      <c r="I31" s="171">
        <f t="shared" si="3"/>
        <v>-0.10128454091338557</v>
      </c>
      <c r="J31" s="20"/>
      <c r="K31" s="54"/>
      <c r="L31" s="54"/>
      <c r="M31" s="55" t="s">
        <v>90</v>
      </c>
      <c r="N31" s="70">
        <f t="shared" ref="N31:O33" si="4">D31</f>
        <v>57.759411999999998</v>
      </c>
      <c r="O31" s="70">
        <f t="shared" si="4"/>
        <v>48.479621327248083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147.89725000000001</v>
      </c>
      <c r="E32" s="170">
        <f>'Resumen (G)'!F43</f>
        <v>172.72225510999985</v>
      </c>
      <c r="F32" s="171">
        <f t="shared" si="2"/>
        <v>0.16785305413048479</v>
      </c>
      <c r="G32" s="250">
        <f>'Resumen (G)'!H43</f>
        <v>1032.24818</v>
      </c>
      <c r="H32" s="170">
        <f>'Resumen (G)'!I43</f>
        <v>1096.5870306775</v>
      </c>
      <c r="I32" s="171">
        <f t="shared" si="3"/>
        <v>6.2328858431603074E-2</v>
      </c>
      <c r="J32" s="20"/>
      <c r="K32" s="54"/>
      <c r="L32" s="54"/>
      <c r="M32" s="55" t="s">
        <v>14</v>
      </c>
      <c r="N32" s="70">
        <f t="shared" si="4"/>
        <v>147.89725000000001</v>
      </c>
      <c r="O32" s="70">
        <f t="shared" si="4"/>
        <v>172.72225510999985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58.634888000000004</v>
      </c>
      <c r="E33" s="170">
        <f>'Resumen (G)'!F44</f>
        <v>58.951758802499988</v>
      </c>
      <c r="F33" s="171">
        <f t="shared" si="2"/>
        <v>5.404134182024567E-3</v>
      </c>
      <c r="G33" s="250">
        <f>'Resumen (G)'!H44</f>
        <v>432.29360100000002</v>
      </c>
      <c r="H33" s="170">
        <f>'Resumen (G)'!I44</f>
        <v>438.82238840499991</v>
      </c>
      <c r="I33" s="171">
        <f t="shared" si="3"/>
        <v>1.5102669551196657E-2</v>
      </c>
      <c r="J33" s="20"/>
      <c r="K33" s="54"/>
      <c r="L33" s="54"/>
      <c r="M33" s="55" t="s">
        <v>5</v>
      </c>
      <c r="N33" s="70">
        <f t="shared" si="4"/>
        <v>58.634888000000004</v>
      </c>
      <c r="O33" s="70">
        <f t="shared" si="4"/>
        <v>58.951758802499988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2" t="s">
        <v>4</v>
      </c>
      <c r="D34" s="357">
        <v>0.20499999999999999</v>
      </c>
      <c r="E34" s="354">
        <v>0.10661715025003074</v>
      </c>
      <c r="F34" s="173">
        <f t="shared" si="2"/>
        <v>-0.4799163402437524</v>
      </c>
      <c r="G34" s="361">
        <v>1.5598509999999999</v>
      </c>
      <c r="H34" s="362">
        <v>0.96936679183425067</v>
      </c>
      <c r="I34" s="173">
        <f t="shared" si="3"/>
        <v>-0.37855167459311767</v>
      </c>
      <c r="J34" s="20"/>
      <c r="K34" s="54"/>
      <c r="L34" s="54"/>
      <c r="M34" s="96"/>
      <c r="N34" s="97">
        <f>SUM(N27:N33)</f>
        <v>4743.6133549801389</v>
      </c>
      <c r="O34" s="97">
        <f>SUM(O27:O33)</f>
        <v>4987.9421700428202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4743.6133549801389</v>
      </c>
      <c r="E35" s="299">
        <f>SUM(E28:E34)</f>
        <v>4987.9421700428202</v>
      </c>
      <c r="F35" s="300">
        <f t="shared" si="2"/>
        <v>5.1506899230345127E-2</v>
      </c>
      <c r="G35" s="301">
        <f>SUM(G28:G34)</f>
        <v>33135.890550860968</v>
      </c>
      <c r="H35" s="299">
        <f>SUM(H28:H34)</f>
        <v>34198.777654848818</v>
      </c>
      <c r="I35" s="302">
        <f t="shared" si="3"/>
        <v>3.2076611985315528E-2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0.44511668974522495</v>
      </c>
      <c r="N40" s="227">
        <f t="shared" si="5"/>
        <v>0.41544536088180217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0.48334138902634066</v>
      </c>
      <c r="N41" s="227">
        <f t="shared" si="5"/>
        <v>0.4925941117062439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1.5783466606007254E-2</v>
      </c>
      <c r="N42" s="227">
        <f t="shared" si="5"/>
        <v>3.5772976948113697E-2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4.3216001106999645E-5</v>
      </c>
      <c r="N43" s="227">
        <f t="shared" si="5"/>
        <v>2.1374977218133117E-5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1.2176247867959261E-2</v>
      </c>
      <c r="N44" s="227">
        <f t="shared" si="5"/>
        <v>9.7193631510831841E-3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3.1178183998644901E-2</v>
      </c>
      <c r="N45" s="227">
        <f t="shared" si="5"/>
        <v>3.4627958629383442E-2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1.2360806754716101E-2</v>
      </c>
      <c r="N46" s="227">
        <f t="shared" si="5"/>
        <v>1.1818853706155518E-2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1.0000000000000002</v>
      </c>
      <c r="N49" s="228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1" t="s">
        <v>91</v>
      </c>
      <c r="D53" s="383" t="s">
        <v>126</v>
      </c>
      <c r="E53" s="383"/>
      <c r="F53" s="384" t="s">
        <v>74</v>
      </c>
      <c r="G53" s="386" t="s">
        <v>127</v>
      </c>
      <c r="H53" s="387"/>
      <c r="I53" s="384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2"/>
      <c r="D54" s="94">
        <v>2021</v>
      </c>
      <c r="E54" s="95">
        <v>2022</v>
      </c>
      <c r="F54" s="385"/>
      <c r="G54" s="236">
        <v>2021</v>
      </c>
      <c r="H54" s="95">
        <v>2022</v>
      </c>
      <c r="I54" s="385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4479.3218049801389</v>
      </c>
      <c r="E55" s="286">
        <f>SUM(E28:E30,E34)</f>
        <v>4707.7885348030723</v>
      </c>
      <c r="F55" s="287">
        <f>+E55/D55-1</f>
        <v>5.1004759151022094E-2</v>
      </c>
      <c r="G55" s="288">
        <f>SUM(G28:G30,G34)</f>
        <v>31377.053164860976</v>
      </c>
      <c r="H55" s="286">
        <f>SUM(H28:H30,H34)</f>
        <v>32398.88022601157</v>
      </c>
      <c r="I55" s="287">
        <f>+H55/G55-1</f>
        <v>3.2566062076694102E-2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9" t="s">
        <v>104</v>
      </c>
      <c r="D56" s="349">
        <f>SUM(D31:D33)</f>
        <v>264.29155000000003</v>
      </c>
      <c r="E56" s="290">
        <f>SUM(E31:E33)</f>
        <v>280.15363523974793</v>
      </c>
      <c r="F56" s="352">
        <f>+E56/D56-1</f>
        <v>6.0017375658615979E-2</v>
      </c>
      <c r="G56" s="351">
        <f>SUM(G31:G33)</f>
        <v>1758.8373860000002</v>
      </c>
      <c r="H56" s="346">
        <f>SUM(H31:H33)</f>
        <v>1799.8974288372478</v>
      </c>
      <c r="I56" s="350">
        <f>+H56/G56-1</f>
        <v>2.3344990937807841E-2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4743.6133549801389</v>
      </c>
      <c r="E57" s="100">
        <f>SUM(E55:E56)</f>
        <v>4987.9421700428202</v>
      </c>
      <c r="F57" s="101">
        <f>+E57/D57-1</f>
        <v>5.1506899230345127E-2</v>
      </c>
      <c r="G57" s="251">
        <f>SUM(G55:G56)</f>
        <v>33135.890550860975</v>
      </c>
      <c r="H57" s="100">
        <f>SUM(H55:H56)</f>
        <v>34198.777654848818</v>
      </c>
      <c r="I57" s="101">
        <f>+H57/G57-1</f>
        <v>3.2076611985315306E-2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2">
        <f>+D56/D57</f>
        <v>5.5715238621320266E-2</v>
      </c>
      <c r="E58" s="103">
        <f>+E56/E57</f>
        <v>5.6166175486622151E-2</v>
      </c>
      <c r="F58" s="104"/>
      <c r="G58" s="252">
        <f>+G56/G57</f>
        <v>5.3079526663100354E-2</v>
      </c>
      <c r="H58" s="103">
        <f>+H56/H57</f>
        <v>5.2630460860405993E-2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4479.3218049801389</v>
      </c>
      <c r="N63" s="76">
        <f>E55</f>
        <v>4707.7885348030723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264.29155000000003</v>
      </c>
      <c r="N64" s="76">
        <f>E56</f>
        <v>280.15363523974793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83" t="s">
        <v>126</v>
      </c>
      <c r="E76" s="383"/>
      <c r="F76" s="105" t="s">
        <v>74</v>
      </c>
      <c r="G76" s="386" t="s">
        <v>127</v>
      </c>
      <c r="H76" s="387"/>
      <c r="I76" s="225" t="s">
        <v>74</v>
      </c>
      <c r="J76" s="19"/>
      <c r="K76" s="57"/>
      <c r="L76" s="57"/>
      <c r="M76" s="55" t="s">
        <v>96</v>
      </c>
      <c r="N76" s="70">
        <f>D78</f>
        <v>0.50119538499999994</v>
      </c>
      <c r="O76" s="70">
        <f>E78</f>
        <v>18.316661585000002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7" t="s">
        <v>95</v>
      </c>
      <c r="D77" s="348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4599.5022336149996</v>
      </c>
      <c r="O77" s="70">
        <f>E79</f>
        <v>4819.0109534355934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0.50119538499999994</v>
      </c>
      <c r="E78" s="345">
        <v>18.316661585000002</v>
      </c>
      <c r="F78" s="156">
        <f>((E78/D78)-1)</f>
        <v>35.54595020861975</v>
      </c>
      <c r="G78" s="233">
        <v>22.039118177499997</v>
      </c>
      <c r="H78" s="345">
        <v>259.62917622999998</v>
      </c>
      <c r="I78" s="156">
        <f>((H78/G78)-1)</f>
        <v>10.780379511511425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4599.5022336149996</v>
      </c>
      <c r="E79" s="323">
        <f>'Resumen (G)'!F40-E78</f>
        <v>4819.0109534355934</v>
      </c>
      <c r="F79" s="160">
        <f>((E79/D79)-1)</f>
        <v>4.7724451184377292E-2</v>
      </c>
      <c r="G79" s="234">
        <f>'Resumen (G)'!H40-G78</f>
        <v>32019.075493822496</v>
      </c>
      <c r="H79" s="323">
        <f>'Resumen (G)'!I40-H78</f>
        <v>32807.669875810621</v>
      </c>
      <c r="I79" s="160">
        <f>((H79/G79)-1)</f>
        <v>2.462889292791326E-2</v>
      </c>
      <c r="J79" s="19"/>
      <c r="K79" s="57"/>
      <c r="L79" s="57"/>
      <c r="M79" s="70"/>
      <c r="N79" s="70"/>
      <c r="O79" s="70"/>
    </row>
    <row r="80" spans="2:28" ht="14.25" thickTop="1" thickBot="1">
      <c r="C80" s="125" t="s">
        <v>94</v>
      </c>
      <c r="D80" s="229">
        <f>SUM(D78:D79)</f>
        <v>4600.0034289999994</v>
      </c>
      <c r="E80" s="324">
        <f>SUM(E78:E79)</f>
        <v>4837.3276150205929</v>
      </c>
      <c r="F80" s="126"/>
      <c r="G80" s="253">
        <f>SUM(G78:G79)</f>
        <v>32041.114611999998</v>
      </c>
      <c r="H80" s="324">
        <f>SUM(H78:H79)</f>
        <v>33067.299052040624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zoomScale="90" zoomScaleNormal="100" zoomScaleSheetLayoutView="90" workbookViewId="0">
      <selection activeCell="C2" sqref="C2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5" t="s">
        <v>126</v>
      </c>
      <c r="E8" s="396"/>
      <c r="F8" s="384" t="s">
        <v>74</v>
      </c>
      <c r="G8" s="386" t="s">
        <v>127</v>
      </c>
      <c r="H8" s="387"/>
      <c r="I8" s="384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5"/>
      <c r="G9" s="340">
        <v>2021</v>
      </c>
      <c r="H9" s="95">
        <v>2022</v>
      </c>
      <c r="I9" s="385"/>
      <c r="J9" s="26"/>
    </row>
    <row r="10" spans="2:13">
      <c r="C10" s="193" t="s">
        <v>10</v>
      </c>
      <c r="D10" s="194">
        <f>'Por Región (G)'!O8</f>
        <v>302.747839</v>
      </c>
      <c r="E10" s="195">
        <f>'Por Región (G)'!P8</f>
        <v>356.46802056789369</v>
      </c>
      <c r="F10" s="196">
        <f>+E10/D10-1</f>
        <v>0.17744199841470598</v>
      </c>
      <c r="G10" s="335">
        <f>'Por Región (G)'!Q8</f>
        <v>2221.7220729999999</v>
      </c>
      <c r="H10" s="195">
        <f>'Por Región (G)'!R8</f>
        <v>2390.5792799707501</v>
      </c>
      <c r="I10" s="196">
        <f>+H10/G10-1</f>
        <v>7.6002848881427276E-2</v>
      </c>
      <c r="J10" s="26"/>
      <c r="L10" s="142" t="s">
        <v>9</v>
      </c>
      <c r="M10" s="230">
        <f>E11</f>
        <v>4135.4924554109248</v>
      </c>
    </row>
    <row r="11" spans="2:13">
      <c r="C11" s="197" t="s">
        <v>9</v>
      </c>
      <c r="D11" s="198">
        <f>'Por Región (G)'!O9</f>
        <v>3924.9847070000001</v>
      </c>
      <c r="E11" s="199">
        <f>'Por Región (G)'!P9</f>
        <v>4135.4924554109248</v>
      </c>
      <c r="F11" s="200">
        <f>+E11/D11-1</f>
        <v>5.3632756335456611E-2</v>
      </c>
      <c r="G11" s="336">
        <f>'Por Región (G)'!Q9</f>
        <v>26479.048971000004</v>
      </c>
      <c r="H11" s="199">
        <f>'Por Región (G)'!R9</f>
        <v>27437.659190629234</v>
      </c>
      <c r="I11" s="200">
        <f>+H11/G11-1</f>
        <v>3.6202592497906805E-2</v>
      </c>
      <c r="J11" s="26"/>
      <c r="L11" s="142" t="s">
        <v>12</v>
      </c>
      <c r="M11" s="230">
        <f>E12</f>
        <v>462.15169606400093</v>
      </c>
    </row>
    <row r="12" spans="2:13">
      <c r="C12" s="197" t="s">
        <v>12</v>
      </c>
      <c r="D12" s="198">
        <f>'Por Región (G)'!O10</f>
        <v>482.95011500000004</v>
      </c>
      <c r="E12" s="199">
        <f>'Por Región (G)'!P10</f>
        <v>462.15169606400093</v>
      </c>
      <c r="F12" s="200">
        <f>+E12/D12-1</f>
        <v>-4.3065356627980278E-2</v>
      </c>
      <c r="G12" s="336">
        <f>'Por Región (G)'!Q10</f>
        <v>4202.5518599999996</v>
      </c>
      <c r="H12" s="199">
        <f>'Por Región (G)'!R10</f>
        <v>4131.4654143680063</v>
      </c>
      <c r="I12" s="200">
        <f>+H12/G12-1</f>
        <v>-1.691506684512234E-2</v>
      </c>
      <c r="J12" s="26"/>
      <c r="L12" s="142" t="s">
        <v>10</v>
      </c>
      <c r="M12" s="230">
        <f>E10</f>
        <v>356.46802056789369</v>
      </c>
    </row>
    <row r="13" spans="2:13">
      <c r="C13" s="201" t="s">
        <v>11</v>
      </c>
      <c r="D13" s="202">
        <f>'Por Región (G)'!O11</f>
        <v>32.930692999999998</v>
      </c>
      <c r="E13" s="203">
        <f>'Por Región (G)'!P11</f>
        <v>33.829997999999996</v>
      </c>
      <c r="F13" s="204">
        <f>+E13/D13-1</f>
        <v>2.7309021404438694E-2</v>
      </c>
      <c r="G13" s="337">
        <f>'Por Región (G)'!Q11</f>
        <v>232.56764000000001</v>
      </c>
      <c r="H13" s="203">
        <f>'Por Región (G)'!R11</f>
        <v>239.07376399999995</v>
      </c>
      <c r="I13" s="204">
        <f>+H13/G13-1</f>
        <v>2.7975190357523161E-2</v>
      </c>
      <c r="J13" s="26"/>
      <c r="L13" s="142" t="s">
        <v>11</v>
      </c>
      <c r="M13" s="230">
        <f>E13</f>
        <v>33.829997999999996</v>
      </c>
    </row>
    <row r="14" spans="2:13" ht="13.5" thickBot="1">
      <c r="C14" s="207" t="s">
        <v>108</v>
      </c>
      <c r="D14" s="208">
        <f>SUM(D10:D13)</f>
        <v>4743.6133540000001</v>
      </c>
      <c r="E14" s="209">
        <f>SUM(E10:E13)</f>
        <v>4987.9421700428193</v>
      </c>
      <c r="F14" s="210">
        <f>+E14/D14-1</f>
        <v>5.1506899447610222E-2</v>
      </c>
      <c r="G14" s="338">
        <f>SUM(G10:G13)</f>
        <v>33135.890544000002</v>
      </c>
      <c r="H14" s="209">
        <f>SUM(H10:H13)</f>
        <v>34198.777648967989</v>
      </c>
      <c r="I14" s="210">
        <f>+H14/G14-1</f>
        <v>3.2076612021536555E-2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2" t="s">
        <v>93</v>
      </c>
      <c r="D18" s="392"/>
      <c r="E18" s="392"/>
      <c r="F18" s="392"/>
      <c r="G18" s="393" t="s">
        <v>107</v>
      </c>
      <c r="H18" s="394"/>
      <c r="I18" s="394"/>
      <c r="J18" s="394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5">
      <c r="C49" s="25"/>
      <c r="D49" s="19"/>
      <c r="E49" s="19"/>
      <c r="F49" s="19"/>
      <c r="G49" s="19"/>
      <c r="H49" s="19"/>
      <c r="I49" s="19"/>
      <c r="J49" s="19"/>
    </row>
    <row r="50" spans="3:15">
      <c r="C50" s="25"/>
      <c r="D50" s="19"/>
      <c r="E50" s="19"/>
      <c r="F50" s="19"/>
      <c r="G50" s="19"/>
      <c r="H50" s="19"/>
      <c r="I50" s="19"/>
      <c r="J50" s="19"/>
    </row>
    <row r="51" spans="3:15">
      <c r="C51" s="25"/>
      <c r="D51" s="19"/>
      <c r="E51" s="19"/>
      <c r="F51" s="19"/>
      <c r="G51" s="19"/>
      <c r="H51" s="19"/>
      <c r="I51" s="19"/>
      <c r="J51" s="19"/>
    </row>
    <row r="52" spans="3:15">
      <c r="C52" s="25"/>
      <c r="D52" s="19"/>
      <c r="E52" s="19"/>
      <c r="F52" s="19"/>
      <c r="G52" s="19"/>
      <c r="H52" s="19"/>
      <c r="I52" s="37"/>
      <c r="J52" s="19"/>
    </row>
    <row r="53" spans="3:15" ht="13.5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5">
      <c r="C54" s="388" t="s">
        <v>13</v>
      </c>
      <c r="D54" s="390" t="s">
        <v>131</v>
      </c>
      <c r="E54" s="391"/>
      <c r="F54" s="391"/>
      <c r="G54" s="391"/>
      <c r="H54" s="391"/>
      <c r="I54" s="19"/>
      <c r="J54" s="19"/>
    </row>
    <row r="55" spans="3:15">
      <c r="C55" s="389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5">
      <c r="C56" s="212" t="s">
        <v>10</v>
      </c>
      <c r="D56" s="331">
        <f>'Resumen (G)'!F14-'PorZona (G)'!D58</f>
        <v>100.27017599249984</v>
      </c>
      <c r="E56" s="216">
        <v>133.68999811555273</v>
      </c>
      <c r="F56" s="216">
        <v>0</v>
      </c>
      <c r="G56" s="216">
        <v>122.50784645984112</v>
      </c>
      <c r="H56" s="216">
        <f>SUM(D56:G56)</f>
        <v>356.46802056789369</v>
      </c>
      <c r="I56" s="326"/>
      <c r="K56" s="303"/>
      <c r="L56" s="316"/>
      <c r="M56" s="316"/>
      <c r="O56" s="316"/>
    </row>
    <row r="57" spans="3:15">
      <c r="C57" s="213" t="s">
        <v>9</v>
      </c>
      <c r="D57" s="332">
        <v>0</v>
      </c>
      <c r="E57" s="217">
        <v>1651.3387707923523</v>
      </c>
      <c r="F57" s="333">
        <v>6.4619999999999999E-3</v>
      </c>
      <c r="G57" s="217">
        <v>2484.1472226185724</v>
      </c>
      <c r="H57" s="217">
        <f>SUM(D57:G57)</f>
        <v>4135.4924554109248</v>
      </c>
      <c r="I57" s="326"/>
      <c r="K57" s="303"/>
      <c r="L57" s="316"/>
      <c r="M57" s="316"/>
      <c r="O57" s="316"/>
    </row>
    <row r="58" spans="3:15">
      <c r="C58" s="213" t="s">
        <v>12</v>
      </c>
      <c r="D58" s="332">
        <v>72.452079117500006</v>
      </c>
      <c r="E58" s="217">
        <v>287.18866598309353</v>
      </c>
      <c r="F58" s="217">
        <f>'Resumen (G)'!D15</f>
        <v>58.951758802499988</v>
      </c>
      <c r="G58" s="217">
        <v>43.559192160907401</v>
      </c>
      <c r="H58" s="217">
        <f>SUM(D58:G58)</f>
        <v>462.15169606400093</v>
      </c>
      <c r="I58" s="326"/>
      <c r="K58" s="303"/>
      <c r="L58" s="316"/>
      <c r="M58" s="316"/>
      <c r="O58" s="316"/>
    </row>
    <row r="59" spans="3:15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33.829997999999996</v>
      </c>
      <c r="H59" s="218">
        <f>SUM(D59:G59)</f>
        <v>33.829997999999996</v>
      </c>
      <c r="I59" s="326"/>
      <c r="K59" s="19"/>
      <c r="L59" s="316"/>
      <c r="M59" s="316"/>
    </row>
    <row r="60" spans="3:15" ht="13.5" thickBot="1">
      <c r="C60" s="114" t="s">
        <v>108</v>
      </c>
      <c r="D60" s="219">
        <f>SUM(D56:D59)</f>
        <v>172.72225510999985</v>
      </c>
      <c r="E60" s="220">
        <f>SUM(E56:E59)</f>
        <v>2072.2174348909984</v>
      </c>
      <c r="F60" s="220">
        <f>SUM(F56:F59)</f>
        <v>58.958220802499987</v>
      </c>
      <c r="G60" s="220">
        <f>SUM(G56:G59)</f>
        <v>2684.044259239321</v>
      </c>
      <c r="H60" s="220">
        <f>SUM(H56:H59)</f>
        <v>4987.9421700428193</v>
      </c>
      <c r="I60" s="19"/>
      <c r="J60" s="19"/>
    </row>
    <row r="61" spans="3:15" ht="6.75" customHeight="1">
      <c r="C61" s="19"/>
      <c r="D61" s="19"/>
      <c r="E61" s="19"/>
      <c r="F61" s="19"/>
      <c r="G61" s="19"/>
      <c r="H61" s="19"/>
      <c r="I61" s="19"/>
      <c r="J61" s="19"/>
    </row>
    <row r="62" spans="3:15">
      <c r="C62" s="19"/>
      <c r="D62" s="19"/>
      <c r="E62" s="19"/>
      <c r="F62" s="19"/>
      <c r="G62" s="19"/>
      <c r="H62" s="19"/>
      <c r="I62" s="19"/>
      <c r="J62" s="19"/>
    </row>
    <row r="63" spans="3:15">
      <c r="C63" s="19"/>
      <c r="D63" s="19"/>
      <c r="E63" s="19"/>
      <c r="F63" s="19"/>
      <c r="G63" s="19"/>
      <c r="H63" s="19"/>
      <c r="I63" s="19"/>
      <c r="J63" s="19"/>
    </row>
    <row r="64" spans="3:15">
      <c r="E64" s="329"/>
      <c r="H64" s="121"/>
    </row>
    <row r="65" spans="5:5">
      <c r="E65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tabSelected="1" view="pageBreakPreview" zoomScale="90" zoomScaleNormal="100" zoomScaleSheetLayoutView="90" workbookViewId="0">
      <selection activeCell="C2" sqref="C2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7" t="s">
        <v>60</v>
      </c>
      <c r="D6" s="395" t="s">
        <v>126</v>
      </c>
      <c r="E6" s="396"/>
      <c r="F6" s="384" t="s">
        <v>74</v>
      </c>
      <c r="G6" s="386" t="s">
        <v>127</v>
      </c>
      <c r="H6" s="387"/>
      <c r="I6" s="384" t="s">
        <v>74</v>
      </c>
      <c r="O6" s="47"/>
      <c r="P6" s="86"/>
      <c r="Q6" s="397" t="s">
        <v>116</v>
      </c>
      <c r="R6" s="397"/>
    </row>
    <row r="7" spans="3:19" ht="12.75" customHeight="1">
      <c r="C7" s="108"/>
      <c r="D7" s="109">
        <v>2021</v>
      </c>
      <c r="E7" s="95">
        <v>2022</v>
      </c>
      <c r="F7" s="385"/>
      <c r="G7" s="236">
        <v>2021</v>
      </c>
      <c r="H7" s="95">
        <v>2022</v>
      </c>
      <c r="I7" s="385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58">
        <v>4.6704910000000002</v>
      </c>
      <c r="E8" s="344">
        <v>4.2218</v>
      </c>
      <c r="F8" s="222">
        <f>+E8/D8-1</f>
        <v>-9.6069342602308816E-2</v>
      </c>
      <c r="G8" s="353">
        <v>26.667059000000002</v>
      </c>
      <c r="H8" s="344">
        <v>27.261801999999999</v>
      </c>
      <c r="I8" s="222">
        <f>+H8/G8-1</f>
        <v>2.2302534373962901E-2</v>
      </c>
      <c r="J8" s="26"/>
      <c r="K8" s="46"/>
      <c r="L8" s="46"/>
      <c r="N8" s="57" t="s">
        <v>10</v>
      </c>
      <c r="O8" s="71">
        <f>SUM(D8,D13,D20,D21,D27,D29,D31)</f>
        <v>302.747839</v>
      </c>
      <c r="P8" s="71">
        <f>SUM(E8,E13,E20,E21,E27,E29,E31)</f>
        <v>356.46802056789369</v>
      </c>
      <c r="Q8" s="71">
        <f>SUM(G8,G13,G20,G21,G27,G29,G31)</f>
        <v>2221.7220729999999</v>
      </c>
      <c r="R8" s="71">
        <f>SUM(H8,H13,H20,H21,H27,H29,H31)</f>
        <v>2390.5792799707501</v>
      </c>
    </row>
    <row r="9" spans="3:19" ht="20.100000000000001" customHeight="1">
      <c r="C9" s="117" t="s">
        <v>18</v>
      </c>
      <c r="D9" s="221">
        <v>105.147947</v>
      </c>
      <c r="E9" s="281">
        <v>85.727864754562106</v>
      </c>
      <c r="F9" s="223">
        <f t="shared" ref="F9:F32" si="0">+E9/D9-1</f>
        <v>-0.18469292838820617</v>
      </c>
      <c r="G9" s="237">
        <v>1494.8624089999998</v>
      </c>
      <c r="H9" s="281">
        <v>1435.0397160369344</v>
      </c>
      <c r="I9" s="292">
        <f t="shared" ref="I9:I32" si="1">+H9/G9-1</f>
        <v>-4.0018862340035932E-2</v>
      </c>
      <c r="J9" s="26"/>
      <c r="K9" s="46"/>
      <c r="L9" s="46"/>
      <c r="N9" s="57" t="s">
        <v>9</v>
      </c>
      <c r="O9" s="313">
        <f>SUM(D9,D14,D16,D17,D19,D22,D26,D32)</f>
        <v>3924.9847070000001</v>
      </c>
      <c r="P9" s="313">
        <f>SUM(E9,E14,E16,E17,E19,E22,E26,E32)</f>
        <v>4135.4924554109248</v>
      </c>
      <c r="Q9" s="313">
        <f>SUM(G9,G14,G16,G17,G19,G22,G26,G32)</f>
        <v>26479.048971000004</v>
      </c>
      <c r="R9" s="313">
        <f>SUM(H9,H14,H16,H17,H19,H22,H26,H32)</f>
        <v>27437.659190629234</v>
      </c>
    </row>
    <row r="10" spans="3:19" ht="20.100000000000001" customHeight="1">
      <c r="C10" s="118" t="s">
        <v>19</v>
      </c>
      <c r="D10" s="221">
        <v>3.3003939999999998</v>
      </c>
      <c r="E10" s="281">
        <v>4.1293503333333339</v>
      </c>
      <c r="F10" s="223">
        <f t="shared" si="0"/>
        <v>0.25116890084436405</v>
      </c>
      <c r="G10" s="237">
        <v>29.083936999999999</v>
      </c>
      <c r="H10" s="281">
        <v>30.314770333333335</v>
      </c>
      <c r="I10" s="223">
        <f t="shared" si="1"/>
        <v>4.2320038491808543E-2</v>
      </c>
      <c r="J10" s="26"/>
      <c r="K10" s="46"/>
      <c r="L10" s="46"/>
      <c r="N10" s="54" t="s">
        <v>12</v>
      </c>
      <c r="O10" s="313">
        <f>SUM(D10,D11,D12,D15,D18,D24,D25,D28,D30)</f>
        <v>482.95011500000004</v>
      </c>
      <c r="P10" s="313">
        <f>SUM(E10,E11,E12,E15,E18,E24,E25,E28,E30)</f>
        <v>462.15169606400093</v>
      </c>
      <c r="Q10" s="313">
        <f>SUM(G10,G11,G12,G15,G18,G24,G25,G28,G30)</f>
        <v>4202.5518599999996</v>
      </c>
      <c r="R10" s="313">
        <f>SUM(H10,H11,H12,H15,H18,H24,H25,H28,H30)</f>
        <v>4131.4654143680063</v>
      </c>
    </row>
    <row r="11" spans="3:19" ht="20.100000000000001" customHeight="1">
      <c r="C11" s="117" t="s">
        <v>20</v>
      </c>
      <c r="D11" s="342">
        <v>91.169280999999998</v>
      </c>
      <c r="E11" s="308">
        <v>91.255967948985415</v>
      </c>
      <c r="F11" s="339">
        <f t="shared" si="0"/>
        <v>9.5083506236504078E-4</v>
      </c>
      <c r="G11" s="237">
        <v>717.08633599999996</v>
      </c>
      <c r="H11" s="281">
        <v>657.60615007289834</v>
      </c>
      <c r="I11" s="223">
        <f t="shared" si="1"/>
        <v>-8.2947035720816742E-2</v>
      </c>
      <c r="J11" s="26"/>
      <c r="K11" s="46"/>
      <c r="L11" s="46"/>
      <c r="N11" s="314" t="s">
        <v>11</v>
      </c>
      <c r="O11" s="71">
        <f>D23</f>
        <v>32.930692999999998</v>
      </c>
      <c r="P11" s="71">
        <f>E23</f>
        <v>33.829997999999996</v>
      </c>
      <c r="Q11" s="71">
        <f>G23</f>
        <v>232.56764000000001</v>
      </c>
      <c r="R11" s="71">
        <f>H23</f>
        <v>239.07376399999995</v>
      </c>
    </row>
    <row r="12" spans="3:19" ht="20.100000000000001" customHeight="1">
      <c r="C12" s="117" t="s">
        <v>21</v>
      </c>
      <c r="D12" s="342">
        <v>0.62020699999999995</v>
      </c>
      <c r="E12" s="308">
        <v>0.92914063418217441</v>
      </c>
      <c r="F12" s="223">
        <f t="shared" si="0"/>
        <v>0.49811374941297748</v>
      </c>
      <c r="G12" s="237">
        <v>6.0117630000000011</v>
      </c>
      <c r="H12" s="281">
        <v>6.5039844392752206</v>
      </c>
      <c r="I12" s="223">
        <f t="shared" si="1"/>
        <v>8.1876387887416691E-2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105.934488</v>
      </c>
      <c r="E13" s="281">
        <v>94.766987402081043</v>
      </c>
      <c r="F13" s="223">
        <f t="shared" si="0"/>
        <v>-0.10541893210376363</v>
      </c>
      <c r="G13" s="237">
        <v>902.21798799999999</v>
      </c>
      <c r="H13" s="281">
        <v>936.18641672206718</v>
      </c>
      <c r="I13" s="223">
        <f t="shared" si="1"/>
        <v>3.7649912963237497E-2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341.71007700000007</v>
      </c>
      <c r="E14" s="281">
        <v>339.85126105412314</v>
      </c>
      <c r="F14" s="223">
        <f t="shared" si="0"/>
        <v>-5.439745769853066E-3</v>
      </c>
      <c r="G14" s="237">
        <v>1542.8756000000001</v>
      </c>
      <c r="H14" s="281">
        <v>1802.5659555338602</v>
      </c>
      <c r="I14" s="223">
        <f t="shared" si="1"/>
        <v>0.16831580947541092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139.46587199999996</v>
      </c>
      <c r="E15" s="281">
        <v>111.71421296249999</v>
      </c>
      <c r="F15" s="223">
        <f t="shared" si="0"/>
        <v>-0.19898530471669784</v>
      </c>
      <c r="G15" s="237">
        <v>1284.91212</v>
      </c>
      <c r="H15" s="281">
        <v>1265.0938653800001</v>
      </c>
      <c r="I15" s="339">
        <f t="shared" si="1"/>
        <v>-1.5423821062564014E-2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826.2567590000001</v>
      </c>
      <c r="E16" s="281">
        <v>818.64727549975726</v>
      </c>
      <c r="F16" s="223">
        <f t="shared" si="0"/>
        <v>-9.2095869926104301E-3</v>
      </c>
      <c r="G16" s="237">
        <v>6304.8497769999985</v>
      </c>
      <c r="H16" s="281">
        <v>6146.3526600526066</v>
      </c>
      <c r="I16" s="292">
        <f t="shared" si="1"/>
        <v>-2.5138920442734025E-2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72.259050000000002</v>
      </c>
      <c r="E17" s="281">
        <v>79.306295667499967</v>
      </c>
      <c r="F17" s="223">
        <f t="shared" si="0"/>
        <v>9.7527516172714268E-2</v>
      </c>
      <c r="G17" s="237">
        <v>1622.6813770000003</v>
      </c>
      <c r="H17" s="281">
        <v>1576.4871472549996</v>
      </c>
      <c r="I17" s="292">
        <f t="shared" si="1"/>
        <v>-2.8467837494015158E-2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137.315212</v>
      </c>
      <c r="E18" s="281">
        <v>112.32641885000001</v>
      </c>
      <c r="F18" s="223">
        <f t="shared" si="0"/>
        <v>-0.18198124436497243</v>
      </c>
      <c r="G18" s="237">
        <v>979.80905000000007</v>
      </c>
      <c r="H18" s="281">
        <v>985.3938250650001</v>
      </c>
      <c r="I18" s="223">
        <f t="shared" si="1"/>
        <v>5.6998606667288954E-3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206.761889</v>
      </c>
      <c r="E19" s="281">
        <v>213.7663174262708</v>
      </c>
      <c r="F19" s="223">
        <f t="shared" si="0"/>
        <v>3.3876786772202516E-2</v>
      </c>
      <c r="G19" s="237">
        <v>1951.0704359999997</v>
      </c>
      <c r="H19" s="281">
        <v>2099.7469729188133</v>
      </c>
      <c r="I19" s="292">
        <f t="shared" si="1"/>
        <v>7.6202547163609191E-2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51.197194000000003</v>
      </c>
      <c r="E20" s="281">
        <v>103.4527707399792</v>
      </c>
      <c r="F20" s="292">
        <f t="shared" si="0"/>
        <v>1.0206726708494842</v>
      </c>
      <c r="G20" s="237">
        <v>373.98100600000004</v>
      </c>
      <c r="H20" s="281">
        <v>452.19792686534953</v>
      </c>
      <c r="I20" s="223">
        <f t="shared" si="1"/>
        <v>0.20914677379457469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342">
        <v>5.2473390000000002</v>
      </c>
      <c r="E21" s="308">
        <v>4.6528679575000016</v>
      </c>
      <c r="F21" s="223">
        <f t="shared" si="0"/>
        <v>-0.11329000137021805</v>
      </c>
      <c r="G21" s="237">
        <v>36.420059000000002</v>
      </c>
      <c r="H21" s="281">
        <v>34.993446847500003</v>
      </c>
      <c r="I21" s="223">
        <f t="shared" si="1"/>
        <v>-3.9171055502683294E-2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2294.8900310000004</v>
      </c>
      <c r="E22" s="281">
        <v>2490.414433862456</v>
      </c>
      <c r="F22" s="223">
        <f t="shared" si="0"/>
        <v>8.5199900745246415E-2</v>
      </c>
      <c r="G22" s="237">
        <v>12905.797379000001</v>
      </c>
      <c r="H22" s="281">
        <v>13679.072226939667</v>
      </c>
      <c r="I22" s="223">
        <f t="shared" si="1"/>
        <v>5.9916859472621153E-2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32.930692999999998</v>
      </c>
      <c r="E23" s="281">
        <v>33.829997999999996</v>
      </c>
      <c r="F23" s="223">
        <f t="shared" si="0"/>
        <v>2.7309021404438694E-2</v>
      </c>
      <c r="G23" s="237">
        <v>232.56764000000001</v>
      </c>
      <c r="H23" s="281">
        <v>239.07376399999995</v>
      </c>
      <c r="I23" s="223">
        <f t="shared" si="1"/>
        <v>2.7975190357523161E-2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59">
        <v>0.10525</v>
      </c>
      <c r="E24" s="360">
        <v>0.13249303000000001</v>
      </c>
      <c r="F24" s="223">
        <f t="shared" si="0"/>
        <v>0.25884114014251791</v>
      </c>
      <c r="G24" s="341">
        <v>1.1760650000000001</v>
      </c>
      <c r="H24" s="308">
        <v>0.83128112499999984</v>
      </c>
      <c r="I24" s="292">
        <f t="shared" si="1"/>
        <v>-0.29316736319846293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53.550894</v>
      </c>
      <c r="E25" s="281">
        <v>61.833452499999993</v>
      </c>
      <c r="F25" s="223">
        <f t="shared" si="0"/>
        <v>0.15466704440078982</v>
      </c>
      <c r="G25" s="237">
        <v>403.35934900000007</v>
      </c>
      <c r="H25" s="281">
        <v>398.35756136999993</v>
      </c>
      <c r="I25" s="223">
        <f t="shared" si="1"/>
        <v>-1.2400326513815729E-2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58.157354999999995</v>
      </c>
      <c r="E26" s="281">
        <v>65.005361338755321</v>
      </c>
      <c r="F26" s="223">
        <f t="shared" si="0"/>
        <v>0.11774961806215778</v>
      </c>
      <c r="G26" s="237">
        <v>555.93763899999999</v>
      </c>
      <c r="H26" s="281">
        <v>569.78803508235274</v>
      </c>
      <c r="I26" s="223">
        <f t="shared" si="1"/>
        <v>2.4913578629549793E-2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131.839553</v>
      </c>
      <c r="E27" s="281">
        <v>144.76976613500008</v>
      </c>
      <c r="F27" s="223">
        <f t="shared" si="0"/>
        <v>9.8075371470654815E-2</v>
      </c>
      <c r="G27" s="237">
        <v>845.46647999999993</v>
      </c>
      <c r="H27" s="281">
        <v>902.0125692025</v>
      </c>
      <c r="I27" s="223">
        <f t="shared" si="1"/>
        <v>6.6881526991466433E-2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44.845540999999997</v>
      </c>
      <c r="E28" s="281">
        <v>66.936278814999994</v>
      </c>
      <c r="F28" s="223">
        <f t="shared" si="0"/>
        <v>0.49259608251799203</v>
      </c>
      <c r="G28" s="237">
        <v>690.88049400000011</v>
      </c>
      <c r="H28" s="281">
        <v>698.08457762750004</v>
      </c>
      <c r="I28" s="339">
        <f t="shared" si="1"/>
        <v>1.0427394737677842E-2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2.7582260000000001</v>
      </c>
      <c r="E29" s="281">
        <v>3.5032803333333336</v>
      </c>
      <c r="F29" s="223">
        <f t="shared" si="0"/>
        <v>0.27012084337299891</v>
      </c>
      <c r="G29" s="237">
        <v>29.265644999999996</v>
      </c>
      <c r="H29" s="281">
        <v>30.22328233333333</v>
      </c>
      <c r="I29" s="292">
        <f t="shared" si="1"/>
        <v>3.2722235690801682E-2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12.577463999999999</v>
      </c>
      <c r="E30" s="281">
        <v>12.894380990000002</v>
      </c>
      <c r="F30" s="292">
        <f t="shared" si="0"/>
        <v>2.519720907171763E-2</v>
      </c>
      <c r="G30" s="237">
        <v>90.232745999999992</v>
      </c>
      <c r="H30" s="281">
        <v>89.279398955000005</v>
      </c>
      <c r="I30" s="223">
        <f t="shared" si="1"/>
        <v>-1.0565422058639196E-2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1.1005480000000001</v>
      </c>
      <c r="E31" s="281">
        <v>1.1005480000000001</v>
      </c>
      <c r="F31" s="292">
        <f>+E31/D31-1</f>
        <v>0</v>
      </c>
      <c r="G31" s="237">
        <v>7.703835999999999</v>
      </c>
      <c r="H31" s="281">
        <v>7.703835999999999</v>
      </c>
      <c r="I31" s="223">
        <f t="shared" si="1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19.801599</v>
      </c>
      <c r="E32" s="282">
        <v>42.773645807499989</v>
      </c>
      <c r="F32" s="224">
        <f t="shared" si="0"/>
        <v>1.1601106964897121</v>
      </c>
      <c r="G32" s="238">
        <v>100.97435400000001</v>
      </c>
      <c r="H32" s="282">
        <v>128.60647681</v>
      </c>
      <c r="I32" s="224">
        <f t="shared" si="1"/>
        <v>0.27365486101550096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4743.6133540000001</v>
      </c>
      <c r="E33" s="283">
        <f>SUM(E8:E32)</f>
        <v>4987.9421700428193</v>
      </c>
      <c r="F33" s="115">
        <f>+E33/D33-1</f>
        <v>5.1506899447610222E-2</v>
      </c>
      <c r="G33" s="239">
        <f>SUM(G8:G32)</f>
        <v>33135.890543999994</v>
      </c>
      <c r="H33" s="283">
        <f>SUM(H8:H32)</f>
        <v>34198.777648967996</v>
      </c>
      <c r="I33" s="240">
        <f>+H33/G33-1</f>
        <v>3.2076612021536999E-2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2490.414433862456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818.64727549975726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339.85126105412314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213.7663174262708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35</v>
      </c>
      <c r="O48" s="53">
        <v>144.76976613500008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26</v>
      </c>
      <c r="O49" s="53">
        <v>112.32641885000001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111.71421296249999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28</v>
      </c>
      <c r="O51" s="53">
        <v>103.4527707399792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22</v>
      </c>
      <c r="O52" s="53">
        <v>94.766987402081043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91.255967948985415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18</v>
      </c>
      <c r="O54" s="53">
        <v>85.727864754562106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25</v>
      </c>
      <c r="O55" s="52">
        <v>79.306295667499967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66.936278814999994</v>
      </c>
      <c r="P56" s="8"/>
      <c r="S56" s="91"/>
    </row>
    <row r="57" spans="3:19">
      <c r="N57" s="51" t="s">
        <v>34</v>
      </c>
      <c r="O57" s="52">
        <v>65.005361338755321</v>
      </c>
      <c r="S57" s="91"/>
    </row>
    <row r="58" spans="3:19">
      <c r="N58" s="51" t="s">
        <v>33</v>
      </c>
      <c r="O58" s="52">
        <v>61.833452499999993</v>
      </c>
      <c r="S58" s="91"/>
    </row>
    <row r="59" spans="3:19">
      <c r="N59" s="51" t="s">
        <v>40</v>
      </c>
      <c r="O59" s="52">
        <v>42.773645807499989</v>
      </c>
      <c r="S59" s="91"/>
    </row>
    <row r="60" spans="3:19">
      <c r="N60" s="51" t="s">
        <v>31</v>
      </c>
      <c r="O60" s="52">
        <v>33.829997999999996</v>
      </c>
      <c r="S60" s="91"/>
    </row>
    <row r="61" spans="3:19">
      <c r="N61" s="51" t="s">
        <v>38</v>
      </c>
      <c r="O61" s="52">
        <v>12.894380990000002</v>
      </c>
      <c r="S61" s="91"/>
    </row>
    <row r="62" spans="3:19">
      <c r="N62" s="51" t="s">
        <v>29</v>
      </c>
      <c r="O62" s="52">
        <v>4.6528679575000016</v>
      </c>
      <c r="S62" s="91"/>
    </row>
    <row r="63" spans="3:19">
      <c r="N63" s="50" t="s">
        <v>17</v>
      </c>
      <c r="O63" s="53">
        <v>4.2218</v>
      </c>
      <c r="S63" s="91"/>
    </row>
    <row r="64" spans="3:19">
      <c r="N64" s="50" t="s">
        <v>19</v>
      </c>
      <c r="O64" s="53">
        <v>4.1293503333333339</v>
      </c>
      <c r="S64" s="91"/>
    </row>
    <row r="65" spans="6:19">
      <c r="N65" s="50" t="s">
        <v>37</v>
      </c>
      <c r="O65" s="53">
        <v>3.5032803333333336</v>
      </c>
      <c r="S65" s="120"/>
    </row>
    <row r="66" spans="6:19">
      <c r="N66" s="50" t="s">
        <v>39</v>
      </c>
      <c r="O66" s="53">
        <v>1.1005480000000001</v>
      </c>
      <c r="S66" s="91"/>
    </row>
    <row r="67" spans="6:19">
      <c r="N67" s="51" t="s">
        <v>21</v>
      </c>
      <c r="O67" s="52">
        <v>0.92914063418217441</v>
      </c>
      <c r="S67" s="91"/>
    </row>
    <row r="68" spans="6:19">
      <c r="N68" s="9" t="s">
        <v>32</v>
      </c>
      <c r="O68" s="52">
        <v>0.13249303000000001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2022-08-19T21:26:50Z</dcterms:modified>
</cp:coreProperties>
</file>